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0" yWindow="1350" windowWidth="13710" windowHeight="7290" tabRatio="656" firstSheet="1" activeTab="2"/>
  </bookViews>
  <sheets>
    <sheet name="Sheet2" sheetId="1" state="hidden" r:id="rId1"/>
    <sheet name="Recap" sheetId="2" r:id="rId2"/>
    <sheet name="Item 1" sheetId="3" r:id="rId3"/>
    <sheet name="Item 2" sheetId="4" r:id="rId4"/>
    <sheet name="Item 3" sheetId="5" r:id="rId5"/>
    <sheet name="Item 4" sheetId="6" r:id="rId6"/>
    <sheet name="Item 5" sheetId="7" r:id="rId7"/>
    <sheet name="Item 6" sheetId="8" r:id="rId8"/>
    <sheet name="Item 7" sheetId="9" r:id="rId9"/>
    <sheet name="Item 8" sheetId="10" r:id="rId10"/>
    <sheet name="Item 9" sheetId="11" r:id="rId11"/>
    <sheet name="Item 10" sheetId="12" r:id="rId12"/>
    <sheet name="Item 11" sheetId="13" r:id="rId13"/>
    <sheet name="Item 12" sheetId="14" r:id="rId14"/>
    <sheet name="Item 13" sheetId="15" r:id="rId15"/>
    <sheet name="Item 14" sheetId="16" r:id="rId16"/>
    <sheet name="Item 15" sheetId="17" r:id="rId17"/>
    <sheet name="Item 16" sheetId="18" r:id="rId18"/>
    <sheet name="Item 17" sheetId="19" r:id="rId19"/>
    <sheet name="Item 18" sheetId="20" r:id="rId20"/>
    <sheet name="Item 19" sheetId="21" r:id="rId21"/>
    <sheet name="Item 20" sheetId="22" r:id="rId22"/>
  </sheets>
  <definedNames>
    <definedName name="_xlfn.SINGLE" hidden="1">#NAME?</definedName>
    <definedName name="_xlnm.Print_Area" localSheetId="2">'Item 1'!$A$1:$H$41</definedName>
    <definedName name="_xlnm.Print_Area" localSheetId="11">'Item 10'!$A$1:$H$41</definedName>
    <definedName name="_xlnm.Print_Area" localSheetId="12">'Item 11'!$A$1:$H$41</definedName>
    <definedName name="_xlnm.Print_Area" localSheetId="13">'Item 12'!$A$1:$H$41</definedName>
    <definedName name="_xlnm.Print_Area" localSheetId="14">'Item 13'!$A$1:$H$41</definedName>
    <definedName name="_xlnm.Print_Area" localSheetId="15">'Item 14'!$A$1:$H$41</definedName>
    <definedName name="_xlnm.Print_Area" localSheetId="16">'Item 15'!$A$1:$H$41</definedName>
    <definedName name="_xlnm.Print_Area" localSheetId="17">'Item 16'!$A$1:$H$41</definedName>
    <definedName name="_xlnm.Print_Area" localSheetId="18">'Item 17'!$A$1:$H$41</definedName>
    <definedName name="_xlnm.Print_Area" localSheetId="19">'Item 18'!$A$1:$H$41</definedName>
    <definedName name="_xlnm.Print_Area" localSheetId="20">'Item 19'!$A$1:$H$41</definedName>
    <definedName name="_xlnm.Print_Area" localSheetId="3">'Item 2'!$A$1:$H$41</definedName>
    <definedName name="_xlnm.Print_Area" localSheetId="21">'Item 20'!$A$1:$H$41</definedName>
    <definedName name="_xlnm.Print_Area" localSheetId="4">'Item 3'!$A$1:$H$41</definedName>
    <definedName name="_xlnm.Print_Area" localSheetId="5">'Item 4'!$A$1:$H$41</definedName>
    <definedName name="_xlnm.Print_Area" localSheetId="6">'Item 5'!$A$1:$H$41</definedName>
    <definedName name="_xlnm.Print_Area" localSheetId="7">'Item 6'!$A$1:$H$41</definedName>
    <definedName name="_xlnm.Print_Area" localSheetId="8">'Item 7'!$A$1:$H$41</definedName>
    <definedName name="_xlnm.Print_Area" localSheetId="9">'Item 8'!$A$1:$H$41</definedName>
    <definedName name="_xlnm.Print_Area" localSheetId="10">'Item 9'!$A$1:$H$41</definedName>
  </definedNames>
  <calcPr fullCalcOnLoad="1"/>
</workbook>
</file>

<file path=xl/sharedStrings.xml><?xml version="1.0" encoding="utf-8"?>
<sst xmlns="http://schemas.openxmlformats.org/spreadsheetml/2006/main" count="915" uniqueCount="71">
  <si>
    <t>Month &amp; Year</t>
  </si>
  <si>
    <t>of  Work</t>
  </si>
  <si>
    <t>Fuel Use</t>
  </si>
  <si>
    <t>Factor</t>
  </si>
  <si>
    <t>(FUF)</t>
  </si>
  <si>
    <t>Units of</t>
  </si>
  <si>
    <t>Work</t>
  </si>
  <si>
    <t>(U)</t>
  </si>
  <si>
    <t>Accum.</t>
  </si>
  <si>
    <t>Sub-total</t>
  </si>
  <si>
    <t>Monthly</t>
  </si>
  <si>
    <t>Adj. Factor</t>
  </si>
  <si>
    <t>(MAF)</t>
  </si>
  <si>
    <t>Increase or</t>
  </si>
  <si>
    <t>Decrease</t>
  </si>
  <si>
    <t>(+ or -)</t>
  </si>
  <si>
    <t xml:space="preserve">for </t>
  </si>
  <si>
    <t>Month of Work</t>
  </si>
  <si>
    <t>MFI</t>
  </si>
  <si>
    <t>Rock Excavation</t>
  </si>
  <si>
    <t>Item of Work:</t>
  </si>
  <si>
    <t>Item of work</t>
  </si>
  <si>
    <t>Common Excavation</t>
  </si>
  <si>
    <t>Common Excavation (Contractor Furnished)</t>
  </si>
  <si>
    <t>Unclassified Excavation</t>
  </si>
  <si>
    <t>Embankment</t>
  </si>
  <si>
    <t>Embankment (Contractor Furnished)</t>
  </si>
  <si>
    <t>Concrete Pavement: 240 mm / 9 inches</t>
  </si>
  <si>
    <t>Concrete Pavement: 260 mm / 10 inches</t>
  </si>
  <si>
    <t>Concrete Pavement: 280 mm / 11 inches</t>
  </si>
  <si>
    <t>Concrete Pavement: 300 mm / 12 inches</t>
  </si>
  <si>
    <t>Concrete Pavement: 340 mm / 13 inches</t>
  </si>
  <si>
    <t>Concrete Pavement: 360 mm / 14 inches</t>
  </si>
  <si>
    <t>Concrete Shoulders</t>
  </si>
  <si>
    <t>Hot Recycled Bituminous Pavement</t>
  </si>
  <si>
    <t>Plant Mix Bituminous Construction</t>
  </si>
  <si>
    <t>Plant Mix Bituminous Construction (Commercial Grade)</t>
  </si>
  <si>
    <t>Fuel Use Factor Per Unit</t>
  </si>
  <si>
    <t>Metric</t>
  </si>
  <si>
    <t>U.S.</t>
  </si>
  <si>
    <t>Cold Recycled Bituminous Pavement</t>
  </si>
  <si>
    <t>Contract No:</t>
  </si>
  <si>
    <t>Project No:</t>
  </si>
  <si>
    <t>Letting Month:</t>
  </si>
  <si>
    <t>Starting Fuel Index (SFI):</t>
  </si>
  <si>
    <t>FUF:</t>
  </si>
  <si>
    <r>
      <t>E</t>
    </r>
    <r>
      <rPr>
        <sz val="10"/>
        <rFont val="Arial"/>
        <family val="2"/>
      </rPr>
      <t xml:space="preserve">nglish or  </t>
    </r>
    <r>
      <rPr>
        <b/>
        <sz val="10"/>
        <color indexed="10"/>
        <rFont val="Arial"/>
        <family val="2"/>
      </rPr>
      <t>M</t>
    </r>
    <r>
      <rPr>
        <sz val="10"/>
        <rFont val="Arial"/>
        <family val="2"/>
      </rPr>
      <t>etric:</t>
    </r>
  </si>
  <si>
    <t>Concrete Pavement: 200 mm / 8 inches</t>
  </si>
  <si>
    <t>Concrete Pavement: 320 mm / 12 1/2 inches</t>
  </si>
  <si>
    <t>Concrete Pavement: 240 mm / 8 1/2 inches</t>
  </si>
  <si>
    <t>Item of Work</t>
  </si>
  <si>
    <t>Adjustment For Item</t>
  </si>
  <si>
    <t>Current Total Price</t>
  </si>
  <si>
    <t>Fuel Adjustment Recap</t>
  </si>
  <si>
    <t>Project No.</t>
  </si>
  <si>
    <t>Contract No.</t>
  </si>
  <si>
    <t xml:space="preserve">Worksheet </t>
  </si>
  <si>
    <t>Number</t>
  </si>
  <si>
    <t>Total Current Adjustment for Project:</t>
  </si>
  <si>
    <t>Surface Recycled Asphalt Construction</t>
  </si>
  <si>
    <t>Cold Recycled Asphalt Material</t>
  </si>
  <si>
    <t>Common Excavation (Contractor-Furnished)</t>
  </si>
  <si>
    <t>Rock Excavation (Non-Durable Shale)</t>
  </si>
  <si>
    <t>Embankment (Contractor-Furnished)</t>
  </si>
  <si>
    <t>Hot Mix Asphalt - Construction</t>
  </si>
  <si>
    <t>Hot Mix Asphalt - (Commercial Grade)</t>
  </si>
  <si>
    <t>D.O.T. Form 216-2007</t>
  </si>
  <si>
    <t>FUEL PRICE ADJUSTMENT WORKSHEET</t>
  </si>
  <si>
    <t xml:space="preserve"> FUEL PRICE ADJUSTMENT WORKSHEET</t>
  </si>
  <si>
    <t/>
  </si>
  <si>
    <t>*** FOR 2015 SPECIFICATIONS CALCULATED TO THE $0.01. **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</si>
</sst>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43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 applyProtection="1">
      <alignment/>
      <protection hidden="1"/>
    </xf>
    <xf numFmtId="2" fontId="0" fillId="0" borderId="0" xfId="0" applyNumberForma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1" fontId="0" fillId="0" borderId="0" xfId="0" applyNumberFormat="1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1" fontId="1" fillId="0" borderId="0" xfId="0" applyNumberFormat="1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17" fontId="0" fillId="33" borderId="11" xfId="0" applyNumberFormat="1" applyFont="1" applyFill="1" applyBorder="1" applyAlignment="1" applyProtection="1">
      <alignment/>
      <protection hidden="1" locked="0"/>
    </xf>
    <xf numFmtId="0" fontId="0" fillId="0" borderId="12" xfId="0" applyFont="1" applyBorder="1" applyAlignment="1" applyProtection="1">
      <alignment/>
      <protection hidden="1"/>
    </xf>
    <xf numFmtId="0" fontId="0" fillId="33" borderId="11" xfId="0" applyFont="1" applyFill="1" applyBorder="1" applyAlignment="1" applyProtection="1">
      <alignment horizontal="center"/>
      <protection hidden="1" locked="0"/>
    </xf>
    <xf numFmtId="0" fontId="2" fillId="0" borderId="10" xfId="0" applyFont="1" applyBorder="1" applyAlignment="1" applyProtection="1">
      <alignment/>
      <protection hidden="1"/>
    </xf>
    <xf numFmtId="0" fontId="0" fillId="0" borderId="13" xfId="0" applyFont="1" applyBorder="1" applyAlignment="1" applyProtection="1">
      <alignment horizontal="center"/>
      <protection hidden="1"/>
    </xf>
    <xf numFmtId="0" fontId="0" fillId="0" borderId="14" xfId="0" applyFont="1" applyBorder="1" applyAlignment="1" applyProtection="1">
      <alignment horizontal="center"/>
      <protection hidden="1"/>
    </xf>
    <xf numFmtId="1" fontId="0" fillId="0" borderId="13" xfId="0" applyNumberFormat="1" applyFont="1" applyBorder="1" applyAlignment="1" applyProtection="1">
      <alignment horizontal="center"/>
      <protection hidden="1"/>
    </xf>
    <xf numFmtId="0" fontId="0" fillId="0" borderId="14" xfId="0" applyFont="1" applyBorder="1" applyAlignment="1" applyProtection="1">
      <alignment/>
      <protection hidden="1"/>
    </xf>
    <xf numFmtId="0" fontId="0" fillId="0" borderId="15" xfId="0" applyFont="1" applyBorder="1" applyAlignment="1" applyProtection="1">
      <alignment horizontal="center"/>
      <protection hidden="1"/>
    </xf>
    <xf numFmtId="1" fontId="0" fillId="0" borderId="15" xfId="0" applyNumberFormat="1" applyFont="1" applyBorder="1" applyAlignment="1" applyProtection="1">
      <alignment horizontal="center"/>
      <protection hidden="1"/>
    </xf>
    <xf numFmtId="0" fontId="0" fillId="0" borderId="16" xfId="0" applyFont="1" applyBorder="1" applyAlignment="1" applyProtection="1">
      <alignment horizontal="center"/>
      <protection hidden="1"/>
    </xf>
    <xf numFmtId="1" fontId="0" fillId="0" borderId="16" xfId="0" applyNumberFormat="1" applyFont="1" applyBorder="1" applyAlignment="1" applyProtection="1">
      <alignment horizontal="center"/>
      <protection hidden="1"/>
    </xf>
    <xf numFmtId="17" fontId="0" fillId="33" borderId="16" xfId="0" applyNumberFormat="1" applyFont="1" applyFill="1" applyBorder="1" applyAlignment="1" applyProtection="1">
      <alignment horizontal="center"/>
      <protection hidden="1" locked="0"/>
    </xf>
    <xf numFmtId="2" fontId="0" fillId="33" borderId="16" xfId="0" applyNumberFormat="1" applyFont="1" applyFill="1" applyBorder="1" applyAlignment="1" applyProtection="1">
      <alignment horizontal="center"/>
      <protection hidden="1" locked="0"/>
    </xf>
    <xf numFmtId="0" fontId="0" fillId="33" borderId="16" xfId="0" applyFont="1" applyFill="1" applyBorder="1" applyAlignment="1" applyProtection="1">
      <alignment horizontal="center"/>
      <protection hidden="1" locked="0"/>
    </xf>
    <xf numFmtId="1" fontId="0" fillId="0" borderId="11" xfId="0" applyNumberFormat="1" applyFont="1" applyBorder="1" applyAlignment="1" applyProtection="1">
      <alignment horizontal="center"/>
      <protection hidden="1"/>
    </xf>
    <xf numFmtId="4" fontId="0" fillId="0" borderId="11" xfId="44" applyNumberFormat="1" applyFont="1" applyBorder="1" applyAlignment="1" applyProtection="1">
      <alignment/>
      <protection hidden="1"/>
    </xf>
    <xf numFmtId="2" fontId="0" fillId="33" borderId="11" xfId="0" applyNumberFormat="1" applyFont="1" applyFill="1" applyBorder="1" applyAlignment="1" applyProtection="1">
      <alignment horizontal="center"/>
      <protection hidden="1" locked="0"/>
    </xf>
    <xf numFmtId="0" fontId="0" fillId="0" borderId="0" xfId="0" applyFont="1" applyFill="1" applyBorder="1" applyAlignment="1" applyProtection="1">
      <alignment horizontal="center"/>
      <protection hidden="1"/>
    </xf>
    <xf numFmtId="1" fontId="0" fillId="0" borderId="0" xfId="44" applyNumberFormat="1" applyFont="1" applyFill="1" applyBorder="1" applyAlignment="1" applyProtection="1">
      <alignment horizontal="center"/>
      <protection hidden="1"/>
    </xf>
    <xf numFmtId="4" fontId="0" fillId="0" borderId="0" xfId="44" applyNumberFormat="1" applyFont="1" applyFill="1" applyBorder="1" applyAlignment="1" applyProtection="1">
      <alignment/>
      <protection hidden="1"/>
    </xf>
    <xf numFmtId="44" fontId="0" fillId="0" borderId="0" xfId="44" applyFont="1" applyFill="1" applyBorder="1" applyAlignment="1" applyProtection="1">
      <alignment horizontal="center"/>
      <protection hidden="1"/>
    </xf>
    <xf numFmtId="44" fontId="2" fillId="0" borderId="0" xfId="44" applyFont="1" applyFill="1" applyBorder="1" applyAlignment="1" applyProtection="1">
      <alignment horizontal="center"/>
      <protection hidden="1"/>
    </xf>
    <xf numFmtId="2" fontId="0" fillId="0" borderId="0" xfId="0" applyNumberFormat="1" applyFont="1" applyAlignment="1" applyProtection="1">
      <alignment/>
      <protection hidden="1"/>
    </xf>
    <xf numFmtId="17" fontId="0" fillId="0" borderId="0" xfId="0" applyNumberFormat="1" applyFont="1" applyFill="1" applyBorder="1" applyAlignment="1" applyProtection="1">
      <alignment/>
      <protection hidden="1"/>
    </xf>
    <xf numFmtId="17" fontId="0" fillId="0" borderId="0" xfId="0" applyNumberFormat="1" applyFont="1" applyFill="1" applyBorder="1" applyAlignment="1" applyProtection="1">
      <alignment horizontal="center"/>
      <protection hidden="1"/>
    </xf>
    <xf numFmtId="2" fontId="0" fillId="0" borderId="0" xfId="0" applyNumberFormat="1" applyFont="1" applyFill="1" applyBorder="1" applyAlignment="1" applyProtection="1">
      <alignment horizontal="center"/>
      <protection hidden="1"/>
    </xf>
    <xf numFmtId="44" fontId="2" fillId="0" borderId="0" xfId="44" applyFont="1" applyFill="1" applyBorder="1" applyAlignment="1" applyProtection="1">
      <alignment horizontal="center"/>
      <protection/>
    </xf>
    <xf numFmtId="17" fontId="0" fillId="0" borderId="0" xfId="0" applyNumberFormat="1" applyFont="1" applyFill="1" applyBorder="1" applyAlignment="1" applyProtection="1">
      <alignment horizontal="center"/>
      <protection/>
    </xf>
    <xf numFmtId="2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" fontId="0" fillId="0" borderId="0" xfId="44" applyNumberFormat="1" applyFont="1" applyFill="1" applyBorder="1" applyAlignment="1" applyProtection="1">
      <alignment horizontal="center"/>
      <protection/>
    </xf>
    <xf numFmtId="4" fontId="0" fillId="0" borderId="0" xfId="44" applyNumberFormat="1" applyFont="1" applyFill="1" applyBorder="1" applyAlignment="1" applyProtection="1">
      <alignment/>
      <protection/>
    </xf>
    <xf numFmtId="44" fontId="0" fillId="0" borderId="0" xfId="44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1" fontId="0" fillId="0" borderId="0" xfId="0" applyNumberForma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44" fontId="0" fillId="0" borderId="0" xfId="44" applyFont="1" applyBorder="1" applyAlignment="1" applyProtection="1">
      <alignment horizontal="center"/>
      <protection/>
    </xf>
    <xf numFmtId="0" fontId="0" fillId="0" borderId="0" xfId="0" applyNumberFormat="1" applyBorder="1" applyAlignment="1" applyProtection="1">
      <alignment/>
      <protection hidden="1"/>
    </xf>
    <xf numFmtId="2" fontId="0" fillId="0" borderId="0" xfId="0" applyNumberFormat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2" fontId="0" fillId="0" borderId="0" xfId="0" applyNumberFormat="1" applyFont="1" applyFill="1" applyBorder="1" applyAlignment="1" applyProtection="1">
      <alignment horizontal="left"/>
      <protection hidden="1"/>
    </xf>
    <xf numFmtId="2" fontId="0" fillId="0" borderId="16" xfId="0" applyNumberFormat="1" applyFont="1" applyBorder="1" applyAlignment="1" applyProtection="1">
      <alignment horizontal="center"/>
      <protection hidden="1"/>
    </xf>
    <xf numFmtId="7" fontId="0" fillId="0" borderId="11" xfId="44" applyNumberFormat="1" applyFont="1" applyBorder="1" applyAlignment="1" applyProtection="1">
      <alignment horizontal="center"/>
      <protection hidden="1"/>
    </xf>
    <xf numFmtId="1" fontId="0" fillId="0" borderId="17" xfId="0" applyNumberFormat="1" applyFont="1" applyBorder="1" applyAlignment="1" applyProtection="1">
      <alignment/>
      <protection hidden="1"/>
    </xf>
    <xf numFmtId="1" fontId="0" fillId="0" borderId="12" xfId="0" applyNumberFormat="1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right"/>
      <protection hidden="1"/>
    </xf>
    <xf numFmtId="0" fontId="0" fillId="0" borderId="0" xfId="0" applyFill="1" applyBorder="1" applyAlignment="1" applyProtection="1">
      <alignment/>
      <protection hidden="1"/>
    </xf>
    <xf numFmtId="2" fontId="0" fillId="0" borderId="0" xfId="0" applyNumberFormat="1" applyFill="1" applyBorder="1" applyAlignment="1" applyProtection="1">
      <alignment/>
      <protection hidden="1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7" fontId="0" fillId="0" borderId="0" xfId="0" applyNumberFormat="1" applyAlignment="1" applyProtection="1">
      <alignment/>
      <protection hidden="1"/>
    </xf>
    <xf numFmtId="4" fontId="0" fillId="0" borderId="0" xfId="0" applyNumberFormat="1" applyAlignment="1">
      <alignment/>
    </xf>
    <xf numFmtId="2" fontId="0" fillId="33" borderId="11" xfId="0" applyNumberFormat="1" applyFont="1" applyFill="1" applyBorder="1" applyAlignment="1" applyProtection="1">
      <alignment/>
      <protection hidden="1" locked="0"/>
    </xf>
    <xf numFmtId="0" fontId="0" fillId="0" borderId="18" xfId="0" applyFont="1" applyBorder="1" applyAlignment="1" applyProtection="1">
      <alignment/>
      <protection hidden="1"/>
    </xf>
    <xf numFmtId="0" fontId="0" fillId="0" borderId="16" xfId="0" applyFont="1" applyFill="1" applyBorder="1" applyAlignment="1" applyProtection="1">
      <alignment horizontal="center"/>
      <protection/>
    </xf>
    <xf numFmtId="2" fontId="0" fillId="0" borderId="11" xfId="0" applyNumberFormat="1" applyFont="1" applyFill="1" applyBorder="1" applyAlignment="1" applyProtection="1">
      <alignment/>
      <protection/>
    </xf>
    <xf numFmtId="17" fontId="0" fillId="0" borderId="11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 applyProtection="1">
      <alignment horizontal="center"/>
      <protection hidden="1"/>
    </xf>
    <xf numFmtId="0" fontId="0" fillId="33" borderId="19" xfId="0" applyFont="1" applyFill="1" applyBorder="1" applyAlignment="1" applyProtection="1">
      <alignment/>
      <protection hidden="1" locked="0"/>
    </xf>
    <xf numFmtId="0" fontId="0" fillId="0" borderId="18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33" borderId="11" xfId="0" applyFont="1" applyFill="1" applyBorder="1" applyAlignment="1" applyProtection="1">
      <alignment horizontal="center"/>
      <protection hidden="1" locked="0"/>
    </xf>
    <xf numFmtId="0" fontId="0" fillId="33" borderId="19" xfId="0" applyFont="1" applyFill="1" applyBorder="1" applyAlignment="1" applyProtection="1">
      <alignment horizontal="center"/>
      <protection hidden="1" locked="0"/>
    </xf>
    <xf numFmtId="0" fontId="0" fillId="33" borderId="18" xfId="0" applyFont="1" applyFill="1" applyBorder="1" applyAlignment="1" applyProtection="1">
      <alignment horizontal="center"/>
      <protection hidden="1" locked="0"/>
    </xf>
    <xf numFmtId="0" fontId="0" fillId="33" borderId="12" xfId="0" applyFont="1" applyFill="1" applyBorder="1" applyAlignment="1" applyProtection="1">
      <alignment horizontal="center"/>
      <protection hidden="1" locked="0"/>
    </xf>
    <xf numFmtId="0" fontId="3" fillId="0" borderId="20" xfId="0" applyFont="1" applyBorder="1" applyAlignment="1" applyProtection="1">
      <alignment horizontal="right"/>
      <protection hidden="1"/>
    </xf>
    <xf numFmtId="0" fontId="3" fillId="0" borderId="17" xfId="0" applyFont="1" applyBorder="1" applyAlignment="1" applyProtection="1">
      <alignment horizontal="right"/>
      <protection hidden="1"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19" xfId="0" applyFont="1" applyFill="1" applyBorder="1" applyAlignment="1" applyProtection="1">
      <alignment horizontal="center"/>
      <protection/>
    </xf>
    <xf numFmtId="0" fontId="0" fillId="0" borderId="18" xfId="0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4"/>
  <sheetViews>
    <sheetView zoomScalePageLayoutView="0" workbookViewId="0" topLeftCell="A16">
      <selection activeCell="A44" sqref="A44"/>
    </sheetView>
  </sheetViews>
  <sheetFormatPr defaultColWidth="9.140625" defaultRowHeight="12.75"/>
  <cols>
    <col min="1" max="1" width="5.421875" style="0" customWidth="1"/>
    <col min="2" max="2" width="47.7109375" style="0" customWidth="1"/>
    <col min="4" max="4" width="12.57421875" style="0" customWidth="1"/>
  </cols>
  <sheetData>
    <row r="2" spans="1:4" ht="12.75">
      <c r="A2" s="2"/>
      <c r="B2" s="2" t="s">
        <v>21</v>
      </c>
      <c r="C2" s="2" t="s">
        <v>37</v>
      </c>
      <c r="D2" s="2"/>
    </row>
    <row r="3" spans="1:4" ht="12.75">
      <c r="A3" s="2"/>
      <c r="B3" s="2"/>
      <c r="C3" s="2" t="s">
        <v>38</v>
      </c>
      <c r="D3" s="2" t="s">
        <v>39</v>
      </c>
    </row>
    <row r="4" spans="1:4" ht="12.75">
      <c r="A4" s="2">
        <v>1</v>
      </c>
      <c r="B4" s="2" t="s">
        <v>22</v>
      </c>
      <c r="C4" s="3">
        <v>0.33</v>
      </c>
      <c r="D4" s="3">
        <v>0.25</v>
      </c>
    </row>
    <row r="5" spans="1:4" ht="12.75">
      <c r="A5" s="2">
        <v>2</v>
      </c>
      <c r="B5" s="2" t="s">
        <v>23</v>
      </c>
      <c r="C5" s="3">
        <v>0.33</v>
      </c>
      <c r="D5" s="3">
        <v>0.25</v>
      </c>
    </row>
    <row r="6" spans="1:4" ht="12.75">
      <c r="A6" s="2">
        <v>3</v>
      </c>
      <c r="B6" s="2" t="s">
        <v>19</v>
      </c>
      <c r="C6" s="3">
        <v>0.43</v>
      </c>
      <c r="D6" s="3">
        <v>0.33</v>
      </c>
    </row>
    <row r="7" spans="1:4" ht="12.75">
      <c r="A7" s="2">
        <v>4</v>
      </c>
      <c r="B7" s="2" t="s">
        <v>24</v>
      </c>
      <c r="C7" s="3">
        <v>0.38</v>
      </c>
      <c r="D7" s="3">
        <v>0.29</v>
      </c>
    </row>
    <row r="8" spans="1:4" ht="12.75">
      <c r="A8" s="2">
        <v>5</v>
      </c>
      <c r="B8" s="2" t="s">
        <v>25</v>
      </c>
      <c r="C8" s="3">
        <v>0.39</v>
      </c>
      <c r="D8" s="3">
        <v>0.3</v>
      </c>
    </row>
    <row r="9" spans="1:4" ht="12.75">
      <c r="A9" s="2">
        <v>6</v>
      </c>
      <c r="B9" s="2" t="s">
        <v>26</v>
      </c>
      <c r="C9" s="3">
        <v>0.39</v>
      </c>
      <c r="D9" s="3">
        <v>0.3</v>
      </c>
    </row>
    <row r="10" spans="1:4" ht="12.75">
      <c r="A10" s="68">
        <v>7</v>
      </c>
      <c r="B10" s="2" t="s">
        <v>47</v>
      </c>
      <c r="C10" s="3">
        <v>0.72</v>
      </c>
      <c r="D10" s="3">
        <v>0.6</v>
      </c>
    </row>
    <row r="11" spans="1:4" ht="12.75">
      <c r="A11" s="68">
        <v>8</v>
      </c>
      <c r="B11" s="2" t="s">
        <v>49</v>
      </c>
      <c r="C11" s="3">
        <v>0.76</v>
      </c>
      <c r="D11" s="3">
        <v>0.63</v>
      </c>
    </row>
    <row r="12" spans="1:4" ht="12.75">
      <c r="A12" s="2">
        <v>9</v>
      </c>
      <c r="B12" s="2" t="s">
        <v>27</v>
      </c>
      <c r="C12" s="3">
        <v>0.79</v>
      </c>
      <c r="D12" s="3">
        <v>0.66</v>
      </c>
    </row>
    <row r="13" spans="1:4" ht="12.75">
      <c r="A13" s="2">
        <v>10</v>
      </c>
      <c r="B13" s="2" t="s">
        <v>28</v>
      </c>
      <c r="C13" s="3">
        <v>0.86</v>
      </c>
      <c r="D13" s="3">
        <v>0.72</v>
      </c>
    </row>
    <row r="14" spans="1:4" ht="12.75">
      <c r="A14" s="2">
        <v>11</v>
      </c>
      <c r="B14" s="2" t="s">
        <v>29</v>
      </c>
      <c r="C14" s="3">
        <v>0.93</v>
      </c>
      <c r="D14" s="3">
        <v>0.78</v>
      </c>
    </row>
    <row r="15" spans="1:4" ht="12.75">
      <c r="A15" s="2">
        <v>12</v>
      </c>
      <c r="B15" s="2" t="s">
        <v>30</v>
      </c>
      <c r="C15" s="3">
        <v>0.99</v>
      </c>
      <c r="D15" s="3">
        <v>0.83</v>
      </c>
    </row>
    <row r="16" spans="1:4" ht="12.75">
      <c r="A16" s="68">
        <v>13</v>
      </c>
      <c r="B16" s="2" t="s">
        <v>48</v>
      </c>
      <c r="C16" s="3">
        <v>1.02</v>
      </c>
      <c r="D16" s="3">
        <v>0.86</v>
      </c>
    </row>
    <row r="17" spans="1:4" ht="12.75">
      <c r="A17" s="2">
        <v>14</v>
      </c>
      <c r="B17" s="2" t="s">
        <v>31</v>
      </c>
      <c r="C17" s="3">
        <v>1.06</v>
      </c>
      <c r="D17" s="3">
        <v>0.89</v>
      </c>
    </row>
    <row r="18" spans="1:4" ht="12.75">
      <c r="A18" s="2">
        <v>15</v>
      </c>
      <c r="B18" s="2" t="s">
        <v>32</v>
      </c>
      <c r="C18" s="3">
        <v>1.14</v>
      </c>
      <c r="D18" s="3">
        <v>0.95</v>
      </c>
    </row>
    <row r="19" spans="1:4" ht="12.75">
      <c r="A19" s="2">
        <v>16</v>
      </c>
      <c r="B19" s="2" t="s">
        <v>33</v>
      </c>
      <c r="C19" s="3">
        <v>0.2</v>
      </c>
      <c r="D19" s="3">
        <v>0.17</v>
      </c>
    </row>
    <row r="20" spans="1:4" ht="12.75">
      <c r="A20" s="2">
        <v>17</v>
      </c>
      <c r="B20" s="2" t="s">
        <v>40</v>
      </c>
      <c r="C20" s="3">
        <v>334.65</v>
      </c>
      <c r="D20" s="3">
        <v>10.2</v>
      </c>
    </row>
    <row r="21" spans="1:4" ht="12.75">
      <c r="A21" s="2">
        <v>18</v>
      </c>
      <c r="B21" s="2" t="s">
        <v>34</v>
      </c>
      <c r="C21" s="3">
        <v>2.65</v>
      </c>
      <c r="D21" s="3">
        <v>2.4</v>
      </c>
    </row>
    <row r="22" spans="1:4" ht="12.75">
      <c r="A22" s="2">
        <v>19</v>
      </c>
      <c r="B22" s="2" t="s">
        <v>35</v>
      </c>
      <c r="C22" s="3">
        <v>2.65</v>
      </c>
      <c r="D22" s="3">
        <v>2.4</v>
      </c>
    </row>
    <row r="23" spans="1:4" ht="12.75">
      <c r="A23" s="2">
        <v>20</v>
      </c>
      <c r="B23" s="2" t="s">
        <v>36</v>
      </c>
      <c r="C23" s="3">
        <v>2.65</v>
      </c>
      <c r="D23" s="3">
        <v>2.4</v>
      </c>
    </row>
    <row r="25" spans="1:2" ht="12.75">
      <c r="A25">
        <v>1</v>
      </c>
      <c r="B25" t="str">
        <f>+IF($A$25=1,B4,A26)</f>
        <v>Common Excavation</v>
      </c>
    </row>
    <row r="26" ht="12.75">
      <c r="A26">
        <f>+IF($A$25=2,B5,A27)</f>
        <v>0</v>
      </c>
    </row>
    <row r="27" ht="12.75">
      <c r="A27">
        <f>+IF($A$25=3,B6,A28)</f>
        <v>0</v>
      </c>
    </row>
    <row r="28" ht="12.75">
      <c r="A28">
        <f>+IF($A$25=4,B7,A29)</f>
        <v>0</v>
      </c>
    </row>
    <row r="29" ht="12.75">
      <c r="A29">
        <f>+IF($A$25=5,B8,A30)</f>
        <v>0</v>
      </c>
    </row>
    <row r="30" ht="12.75">
      <c r="A30">
        <f>+IF($A$25=6,B9,A31)</f>
        <v>0</v>
      </c>
    </row>
    <row r="31" ht="12.75">
      <c r="A31">
        <f>+IF($A$25=6,B10,A32)</f>
        <v>0</v>
      </c>
    </row>
    <row r="32" ht="12.75">
      <c r="A32">
        <f>+IF($A$25=6,B11,A33)</f>
        <v>0</v>
      </c>
    </row>
    <row r="33" ht="12.75">
      <c r="A33">
        <f>+IF($A$25=7,B12,A34)</f>
        <v>0</v>
      </c>
    </row>
    <row r="34" ht="12.75">
      <c r="A34">
        <f>+IF($A$25=8,B13,A35)</f>
        <v>0</v>
      </c>
    </row>
    <row r="35" ht="12.75">
      <c r="A35">
        <f>+IF($A$25=9,B14,A36)</f>
        <v>0</v>
      </c>
    </row>
    <row r="36" ht="12.75">
      <c r="A36">
        <f>+IF($A$25=10,B15,A37)</f>
        <v>0</v>
      </c>
    </row>
    <row r="37" ht="12.75">
      <c r="A37">
        <f>+IF($A$25=10,B16,A38)</f>
        <v>0</v>
      </c>
    </row>
    <row r="38" ht="12.75">
      <c r="A38">
        <f>+IF($A$25=11,B17,A39)</f>
        <v>0</v>
      </c>
    </row>
    <row r="39" ht="12.75">
      <c r="A39">
        <f>+IF($A$25=12,B18,A40)</f>
        <v>0</v>
      </c>
    </row>
    <row r="40" ht="12.75">
      <c r="A40">
        <f>+IF($A$25=13,B19,A41)</f>
        <v>0</v>
      </c>
    </row>
    <row r="41" ht="12.75">
      <c r="A41">
        <f>+IF($A$25=14,B20,A42)</f>
        <v>0</v>
      </c>
    </row>
    <row r="42" ht="12.75">
      <c r="A42">
        <f>+IF($A$25=15,B21,A43)</f>
        <v>0</v>
      </c>
    </row>
    <row r="43" ht="12.75">
      <c r="A43">
        <f>+IF($A$25=16,B22,A44)</f>
        <v>0</v>
      </c>
    </row>
    <row r="44" ht="12.75">
      <c r="A44">
        <f>+IF($A$25=17,B23,A45)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"/>
  <sheetViews>
    <sheetView showGridLines="0" showRowColHeaders="0" zoomScalePageLayoutView="0" workbookViewId="0" topLeftCell="A1">
      <selection activeCell="B6" sqref="B6:E6"/>
    </sheetView>
  </sheetViews>
  <sheetFormatPr defaultColWidth="9.140625" defaultRowHeight="12.75"/>
  <cols>
    <col min="1" max="1" width="13.00390625" style="0" customWidth="1"/>
    <col min="2" max="2" width="13.28125" style="0" customWidth="1"/>
    <col min="3" max="3" width="9.00390625" style="0" customWidth="1"/>
    <col min="4" max="4" width="9.28125" style="0" customWidth="1"/>
    <col min="5" max="5" width="11.00390625" style="1" customWidth="1"/>
    <col min="6" max="6" width="10.57421875" style="0" customWidth="1"/>
    <col min="7" max="8" width="16.00390625" style="0" bestFit="1" customWidth="1"/>
    <col min="11" max="11" width="3.57421875" style="0" customWidth="1"/>
    <col min="12" max="12" width="47.00390625" style="0" hidden="1" customWidth="1"/>
    <col min="13" max="13" width="8.28125" style="0" hidden="1" customWidth="1"/>
    <col min="14" max="14" width="7.140625" style="0" customWidth="1"/>
    <col min="15" max="16" width="9.140625" style="0" customWidth="1"/>
  </cols>
  <sheetData>
    <row r="1" spans="1:16" ht="15">
      <c r="A1" s="8"/>
      <c r="B1" s="8"/>
      <c r="C1" s="9" t="s">
        <v>68</v>
      </c>
      <c r="D1" s="8"/>
      <c r="E1" s="10"/>
      <c r="F1" s="8"/>
      <c r="G1" s="8"/>
      <c r="H1" s="8"/>
      <c r="I1" s="52"/>
      <c r="J1" s="52"/>
      <c r="K1" s="50"/>
      <c r="L1" s="50"/>
      <c r="M1" s="50"/>
      <c r="N1" s="50"/>
      <c r="O1" s="50"/>
      <c r="P1" s="50"/>
    </row>
    <row r="2" spans="1:16" ht="17.25" customHeight="1">
      <c r="A2" s="8"/>
      <c r="B2" s="8"/>
      <c r="C2" s="8"/>
      <c r="D2" s="8"/>
      <c r="E2" s="10"/>
      <c r="F2" s="8"/>
      <c r="G2" s="8"/>
      <c r="H2" s="8"/>
      <c r="I2" s="52"/>
      <c r="J2" s="52"/>
      <c r="K2" s="50"/>
      <c r="L2" s="50"/>
      <c r="M2" s="50"/>
      <c r="N2" s="50"/>
      <c r="O2" s="50"/>
      <c r="P2" s="50"/>
    </row>
    <row r="3" spans="1:16" ht="21" customHeight="1">
      <c r="A3" s="11"/>
      <c r="B3" s="12"/>
      <c r="C3" s="11"/>
      <c r="D3" s="11"/>
      <c r="E3" s="63" t="s">
        <v>42</v>
      </c>
      <c r="F3" s="97">
        <f>IF('Item 1'!F3:H3="","",'Item 1'!F3:H3)</f>
      </c>
      <c r="G3" s="97"/>
      <c r="H3" s="97"/>
      <c r="I3" s="53"/>
      <c r="J3" s="53"/>
      <c r="K3" s="50"/>
      <c r="L3" s="50"/>
      <c r="M3" s="50"/>
      <c r="N3" s="50"/>
      <c r="O3" s="50"/>
      <c r="P3" s="50"/>
    </row>
    <row r="4" spans="1:16" ht="21" customHeight="1">
      <c r="A4" s="13" t="s">
        <v>43</v>
      </c>
      <c r="B4" s="82">
        <f>IF('Item 1'!B4="","",'Item 1'!B4)</f>
      </c>
      <c r="C4" s="38"/>
      <c r="D4" s="11"/>
      <c r="E4" s="64" t="s">
        <v>41</v>
      </c>
      <c r="F4" s="98">
        <f>IF('Item 1'!F4:H4="","",'Item 1'!F4:H4)</f>
      </c>
      <c r="G4" s="99"/>
      <c r="H4" s="100"/>
      <c r="I4" s="53"/>
      <c r="J4" s="53"/>
      <c r="K4" s="50"/>
      <c r="L4" s="57"/>
      <c r="M4" s="50"/>
      <c r="N4" s="50"/>
      <c r="O4" s="50"/>
      <c r="P4" s="50"/>
    </row>
    <row r="5" spans="1:16" ht="21" customHeight="1">
      <c r="A5" s="79" t="s">
        <v>44</v>
      </c>
      <c r="B5" s="15"/>
      <c r="C5" s="81">
        <f>IF('Item 1'!C5="","",'Item 1'!C5)</f>
      </c>
      <c r="D5" s="95" t="s">
        <v>46</v>
      </c>
      <c r="E5" s="96"/>
      <c r="F5" s="80">
        <f>IF('Item 1'!F5="","",'Item 1'!F5)</f>
      </c>
      <c r="G5" s="65" t="s">
        <v>45</v>
      </c>
      <c r="H5" s="60">
        <f>IF(B6="","",VLOOKUP(B6,L7:M50,2,FALSE))</f>
      </c>
      <c r="I5" s="53"/>
      <c r="J5" s="53"/>
      <c r="K5" s="4"/>
      <c r="L5" s="56"/>
      <c r="N5" s="4"/>
      <c r="O5" s="50"/>
      <c r="P5" s="50"/>
    </row>
    <row r="6" spans="1:16" ht="21" customHeight="1">
      <c r="A6" s="79" t="s">
        <v>20</v>
      </c>
      <c r="B6" s="88"/>
      <c r="C6" s="89"/>
      <c r="D6" s="89"/>
      <c r="E6" s="90"/>
      <c r="F6" s="58"/>
      <c r="H6" s="59"/>
      <c r="I6" s="53"/>
      <c r="J6" s="53"/>
      <c r="K6" s="4"/>
      <c r="L6" s="4" t="s">
        <v>21</v>
      </c>
      <c r="M6" s="4" t="s">
        <v>37</v>
      </c>
      <c r="O6" s="50"/>
      <c r="P6" s="4"/>
    </row>
    <row r="7" spans="1:16" ht="12.75">
      <c r="A7" s="11"/>
      <c r="B7" s="11"/>
      <c r="C7" s="17"/>
      <c r="D7" s="11"/>
      <c r="E7" s="7"/>
      <c r="F7" s="11"/>
      <c r="G7" s="11"/>
      <c r="H7" s="11"/>
      <c r="I7" s="53"/>
      <c r="J7" s="53"/>
      <c r="K7" s="4"/>
      <c r="L7" s="4" t="s">
        <v>22</v>
      </c>
      <c r="M7" s="5">
        <f>IF($F$5="M",0.33,0.25)</f>
        <v>0.25</v>
      </c>
      <c r="O7" s="50"/>
      <c r="P7" s="5"/>
    </row>
    <row r="8" spans="1:16" ht="12.75">
      <c r="A8" s="18" t="s">
        <v>0</v>
      </c>
      <c r="B8" s="18" t="s">
        <v>18</v>
      </c>
      <c r="C8" s="19" t="s">
        <v>2</v>
      </c>
      <c r="D8" s="18" t="s">
        <v>5</v>
      </c>
      <c r="E8" s="20" t="s">
        <v>8</v>
      </c>
      <c r="F8" s="18" t="s">
        <v>10</v>
      </c>
      <c r="G8" s="18" t="s">
        <v>13</v>
      </c>
      <c r="H8" s="18" t="s">
        <v>8</v>
      </c>
      <c r="I8" s="54"/>
      <c r="J8" s="54"/>
      <c r="K8" s="4"/>
      <c r="L8" s="4" t="s">
        <v>61</v>
      </c>
      <c r="M8" s="5">
        <f>IF($F$5="M",0.33,0.25)</f>
        <v>0.25</v>
      </c>
      <c r="O8" s="50"/>
      <c r="P8" s="5"/>
    </row>
    <row r="9" spans="1:16" ht="12.75">
      <c r="A9" s="21"/>
      <c r="B9" s="22" t="s">
        <v>16</v>
      </c>
      <c r="C9" s="22" t="s">
        <v>3</v>
      </c>
      <c r="D9" s="22" t="s">
        <v>6</v>
      </c>
      <c r="E9" s="23"/>
      <c r="F9" s="22" t="s">
        <v>11</v>
      </c>
      <c r="G9" s="22" t="s">
        <v>14</v>
      </c>
      <c r="H9" s="22" t="s">
        <v>9</v>
      </c>
      <c r="I9" s="54"/>
      <c r="J9" s="54"/>
      <c r="K9" s="4"/>
      <c r="L9" s="4" t="s">
        <v>19</v>
      </c>
      <c r="M9" s="5">
        <f>IF($F$5="M",0.43,0.33)</f>
        <v>0.33</v>
      </c>
      <c r="O9" s="50"/>
      <c r="P9" s="5"/>
    </row>
    <row r="10" spans="1:16" ht="12.75">
      <c r="A10" s="24" t="s">
        <v>1</v>
      </c>
      <c r="B10" s="24" t="s">
        <v>17</v>
      </c>
      <c r="C10" s="24" t="s">
        <v>4</v>
      </c>
      <c r="D10" s="24" t="s">
        <v>7</v>
      </c>
      <c r="E10" s="25" t="s">
        <v>9</v>
      </c>
      <c r="F10" s="24" t="s">
        <v>12</v>
      </c>
      <c r="G10" s="24" t="s">
        <v>15</v>
      </c>
      <c r="H10" s="24" t="s">
        <v>15</v>
      </c>
      <c r="I10" s="54"/>
      <c r="J10" s="54"/>
      <c r="K10" s="4"/>
      <c r="L10" s="4" t="s">
        <v>62</v>
      </c>
      <c r="M10" s="5">
        <f>IF($F$5="M",0.43,0.33)</f>
        <v>0.33</v>
      </c>
      <c r="O10" s="50"/>
      <c r="P10" s="5"/>
    </row>
    <row r="11" spans="1:16" ht="22.5" customHeight="1">
      <c r="A11" s="26"/>
      <c r="B11" s="27"/>
      <c r="C11" s="61">
        <f>IF(H5="","",ABS($H$5))</f>
      </c>
      <c r="D11" s="28"/>
      <c r="E11" s="29">
        <f>IF(D11="","",+D11)</f>
      </c>
      <c r="F11" s="30">
        <f>+IF(B11="","",(B11-$C$5))</f>
      </c>
      <c r="G11" s="62">
        <f>IF(C11="","",IF(F11="","",+C11*D11*F11))</f>
      </c>
      <c r="H11" s="62">
        <f>+G11</f>
      </c>
      <c r="I11" s="54"/>
      <c r="J11" s="54"/>
      <c r="K11" s="4"/>
      <c r="L11" s="4" t="s">
        <v>24</v>
      </c>
      <c r="M11" s="5">
        <f>IF($F$5="M",0.38,0.29)</f>
        <v>0.29</v>
      </c>
      <c r="O11" s="50"/>
      <c r="P11" s="5"/>
    </row>
    <row r="12" spans="1:16" ht="22.5" customHeight="1">
      <c r="A12" s="26"/>
      <c r="B12" s="31"/>
      <c r="C12" s="61">
        <f>IF(B12="","",ABS($H$5))</f>
      </c>
      <c r="D12" s="16"/>
      <c r="E12" s="29">
        <f>IF(D12="","",+D12+E11)</f>
      </c>
      <c r="F12" s="30">
        <f aca="true" t="shared" si="0" ref="F12:F38">+IF(B12="","",(B12-$C$5))</f>
      </c>
      <c r="G12" s="62">
        <f>IF(C12="","",IF(F12="","",+C12*D12*F12))</f>
      </c>
      <c r="H12" s="62">
        <f>IF(G12="","",+H11+G12)</f>
      </c>
      <c r="I12" s="55"/>
      <c r="J12" s="55"/>
      <c r="K12" s="4"/>
      <c r="L12" s="4" t="s">
        <v>25</v>
      </c>
      <c r="M12" s="5">
        <f>IF($F$5="M",0.39,0.3)</f>
        <v>0.3</v>
      </c>
      <c r="O12" s="50"/>
      <c r="P12" s="5"/>
    </row>
    <row r="13" spans="1:16" ht="22.5" customHeight="1">
      <c r="A13" s="26"/>
      <c r="B13" s="31"/>
      <c r="C13" s="61">
        <f aca="true" t="shared" si="1" ref="C13:C38">IF(B13="","",ABS($H$5))</f>
      </c>
      <c r="D13" s="16"/>
      <c r="E13" s="29">
        <f aca="true" t="shared" si="2" ref="E13:E38">IF(D13="","",+D13+E12)</f>
      </c>
      <c r="F13" s="30">
        <f t="shared" si="0"/>
      </c>
      <c r="G13" s="62">
        <f>IF(C13="","",IF(F13="","",+C13*D13*F13))</f>
      </c>
      <c r="H13" s="62">
        <f aca="true" t="shared" si="3" ref="H13:H38">IF(G13="","",+H12+G13)</f>
      </c>
      <c r="I13" s="55"/>
      <c r="J13" s="55"/>
      <c r="K13" s="4"/>
      <c r="L13" s="4" t="s">
        <v>63</v>
      </c>
      <c r="M13" s="5">
        <f>IF($F$5="M",0.36,0.3)</f>
        <v>0.3</v>
      </c>
      <c r="O13" s="50"/>
      <c r="P13" s="5"/>
    </row>
    <row r="14" spans="1:16" ht="22.5" customHeight="1">
      <c r="A14" s="26"/>
      <c r="B14" s="31"/>
      <c r="C14" s="61">
        <f t="shared" si="1"/>
      </c>
      <c r="D14" s="16"/>
      <c r="E14" s="29">
        <f t="shared" si="2"/>
      </c>
      <c r="F14" s="30">
        <f t="shared" si="0"/>
      </c>
      <c r="G14" s="62">
        <f>IF(C14="","",IF(F14="","",+C14*D14*F14))</f>
      </c>
      <c r="H14" s="62">
        <f t="shared" si="3"/>
      </c>
      <c r="I14" s="55"/>
      <c r="J14" s="55"/>
      <c r="K14" s="66"/>
      <c r="L14" s="4" t="str">
        <f>IF($F$5="M","Concrete Placement:  75mm","Concrete Placement:  3 inches")</f>
        <v>Concrete Placement:  3 inches</v>
      </c>
      <c r="M14" s="5">
        <f>IF($F$5="M",0.36,0.3)</f>
        <v>0.3</v>
      </c>
      <c r="O14" s="50"/>
      <c r="P14" s="67"/>
    </row>
    <row r="15" spans="1:16" ht="22.5" customHeight="1">
      <c r="A15" s="26"/>
      <c r="B15" s="31"/>
      <c r="C15" s="61">
        <f t="shared" si="1"/>
      </c>
      <c r="D15" s="16"/>
      <c r="E15" s="29">
        <f t="shared" si="2"/>
      </c>
      <c r="F15" s="30">
        <f t="shared" si="0"/>
      </c>
      <c r="G15" s="62">
        <f>IF(C15="","",IF(F15="","",+C15*D15*F15))</f>
      </c>
      <c r="H15" s="62">
        <f t="shared" si="3"/>
      </c>
      <c r="I15" s="55"/>
      <c r="J15" s="55"/>
      <c r="K15" s="66"/>
      <c r="L15" s="4" t="str">
        <f>IF($F$5="M","","Concrete Placement:  3.5 inches")</f>
        <v>Concrete Placement:  3.5 inches</v>
      </c>
      <c r="M15" s="5">
        <f>IF($F$5="M",0.39,0.33)</f>
        <v>0.33</v>
      </c>
      <c r="O15" s="50"/>
      <c r="P15" s="67"/>
    </row>
    <row r="16" spans="1:16" ht="22.5" customHeight="1">
      <c r="A16" s="26"/>
      <c r="B16" s="31"/>
      <c r="C16" s="61">
        <f t="shared" si="1"/>
      </c>
      <c r="D16" s="16"/>
      <c r="E16" s="29">
        <f t="shared" si="2"/>
      </c>
      <c r="F16" s="30">
        <f t="shared" si="0"/>
      </c>
      <c r="G16" s="62">
        <f aca="true" t="shared" si="4" ref="G16:G38">IF(F16="","",+C16*D16*F16)</f>
      </c>
      <c r="H16" s="62">
        <f t="shared" si="3"/>
      </c>
      <c r="I16" s="55"/>
      <c r="J16" s="55"/>
      <c r="K16" s="4"/>
      <c r="L16" s="4" t="str">
        <f>IF($F$5="M","Concrete Placement:  100mm","Concrete Placement:  4 inches")</f>
        <v>Concrete Placement:  4 inches</v>
      </c>
      <c r="M16" s="5">
        <f>IF($F$5="M",0.43,0.36)</f>
        <v>0.36</v>
      </c>
      <c r="O16" s="50"/>
      <c r="P16" s="5"/>
    </row>
    <row r="17" spans="1:16" ht="22.5" customHeight="1">
      <c r="A17" s="26"/>
      <c r="B17" s="31"/>
      <c r="C17" s="61">
        <f t="shared" si="1"/>
      </c>
      <c r="D17" s="16"/>
      <c r="E17" s="29">
        <f t="shared" si="2"/>
      </c>
      <c r="F17" s="30">
        <f t="shared" si="0"/>
      </c>
      <c r="G17" s="62">
        <f t="shared" si="4"/>
      </c>
      <c r="H17" s="62">
        <f t="shared" si="3"/>
      </c>
      <c r="I17" s="55"/>
      <c r="J17" s="55"/>
      <c r="K17" s="66"/>
      <c r="L17" s="4" t="str">
        <f>IF($F$5="M","","Concrete Placement:  4.5 inches")</f>
        <v>Concrete Placement:  4.5 inches</v>
      </c>
      <c r="M17" s="5">
        <f>IF($F$5="M",0.46,0.39)</f>
        <v>0.39</v>
      </c>
      <c r="O17" s="50"/>
      <c r="P17" s="67"/>
    </row>
    <row r="18" spans="1:16" ht="22.5" customHeight="1">
      <c r="A18" s="26"/>
      <c r="B18" s="31"/>
      <c r="C18" s="61">
        <f t="shared" si="1"/>
      </c>
      <c r="D18" s="16"/>
      <c r="E18" s="29">
        <f t="shared" si="2"/>
      </c>
      <c r="F18" s="30">
        <f t="shared" si="0"/>
      </c>
      <c r="G18" s="62">
        <f t="shared" si="4"/>
      </c>
      <c r="H18" s="62">
        <f t="shared" si="3"/>
      </c>
      <c r="I18" s="55"/>
      <c r="J18" s="55"/>
      <c r="K18" s="4"/>
      <c r="L18" s="4" t="str">
        <f>IF($F$5="M","Concrete Placement:  140mm","Concrete Placement:  5 inches")</f>
        <v>Concrete Placement:  5 inches</v>
      </c>
      <c r="M18" s="5">
        <f>IF($F$5="M",0.5,0.42)</f>
        <v>0.42</v>
      </c>
      <c r="O18" s="50"/>
      <c r="P18" s="5"/>
    </row>
    <row r="19" spans="1:16" ht="22.5" customHeight="1">
      <c r="A19" s="26"/>
      <c r="B19" s="31"/>
      <c r="C19" s="61">
        <f t="shared" si="1"/>
      </c>
      <c r="D19" s="16"/>
      <c r="E19" s="29">
        <f t="shared" si="2"/>
      </c>
      <c r="F19" s="30">
        <f t="shared" si="0"/>
      </c>
      <c r="G19" s="62">
        <f t="shared" si="4"/>
      </c>
      <c r="H19" s="62">
        <f t="shared" si="3"/>
      </c>
      <c r="I19" s="55"/>
      <c r="J19" s="55"/>
      <c r="K19" s="66"/>
      <c r="L19" s="4" t="str">
        <f>IF($F$5="M","","Concrete Placement:  5.5 inches")</f>
        <v>Concrete Placement:  5.5 inches</v>
      </c>
      <c r="M19" s="5">
        <f>IF($F$5="M",0.53,0.45)</f>
        <v>0.45</v>
      </c>
      <c r="O19" s="50"/>
      <c r="P19" s="67"/>
    </row>
    <row r="20" spans="1:16" ht="21" customHeight="1">
      <c r="A20" s="26"/>
      <c r="B20" s="31"/>
      <c r="C20" s="61">
        <f t="shared" si="1"/>
      </c>
      <c r="D20" s="16"/>
      <c r="E20" s="29">
        <f t="shared" si="2"/>
      </c>
      <c r="F20" s="30">
        <f t="shared" si="0"/>
      </c>
      <c r="G20" s="62">
        <f t="shared" si="4"/>
      </c>
      <c r="H20" s="62">
        <f t="shared" si="3"/>
      </c>
      <c r="I20" s="55"/>
      <c r="J20" s="55"/>
      <c r="K20" s="4"/>
      <c r="L20" s="4" t="str">
        <f>IF($F$5="M","Concrete Placement:  160mm","Concrete Placement:  6 inches")</f>
        <v>Concrete Placement:  6 inches</v>
      </c>
      <c r="M20" s="5">
        <f>IF($F$5="M",0.57,0.48)</f>
        <v>0.48</v>
      </c>
      <c r="O20" s="50"/>
      <c r="P20" s="5"/>
    </row>
    <row r="21" spans="1:16" ht="21" customHeight="1">
      <c r="A21" s="26"/>
      <c r="B21" s="31"/>
      <c r="C21" s="61">
        <f t="shared" si="1"/>
      </c>
      <c r="D21" s="16"/>
      <c r="E21" s="29">
        <f t="shared" si="2"/>
      </c>
      <c r="F21" s="30">
        <f t="shared" si="0"/>
      </c>
      <c r="G21" s="62">
        <f t="shared" si="4"/>
      </c>
      <c r="H21" s="62">
        <f t="shared" si="3"/>
      </c>
      <c r="I21" s="55"/>
      <c r="J21" s="55"/>
      <c r="K21" s="66"/>
      <c r="L21" s="4" t="str">
        <f>IF($F$5="M","Bonded Concrete Pavement (75mm)","Bonded Concrete Pavement (3 inches)")</f>
        <v>Bonded Concrete Pavement (3 inches)</v>
      </c>
      <c r="M21" s="5">
        <f>IF($F$5="M",0.36,0.3)</f>
        <v>0.3</v>
      </c>
      <c r="O21" s="50"/>
      <c r="P21" s="67"/>
    </row>
    <row r="22" spans="1:16" ht="21" customHeight="1">
      <c r="A22" s="26"/>
      <c r="B22" s="31"/>
      <c r="C22" s="61">
        <f t="shared" si="1"/>
      </c>
      <c r="D22" s="16"/>
      <c r="E22" s="29">
        <f t="shared" si="2"/>
      </c>
      <c r="F22" s="30">
        <f t="shared" si="0"/>
      </c>
      <c r="G22" s="62">
        <f t="shared" si="4"/>
      </c>
      <c r="H22" s="62">
        <f t="shared" si="3"/>
      </c>
      <c r="I22" s="55"/>
      <c r="J22" s="55"/>
      <c r="K22" s="4"/>
      <c r="L22" s="4" t="str">
        <f>IF($F$5="M","","Bonded Concrete Pavement (3.5 inches)")</f>
        <v>Bonded Concrete Pavement (3.5 inches)</v>
      </c>
      <c r="M22" s="5">
        <f>IF($F$5="M",0.39,0.33)</f>
        <v>0.33</v>
      </c>
      <c r="O22" s="50"/>
      <c r="P22" s="5"/>
    </row>
    <row r="23" spans="1:16" ht="22.5" customHeight="1">
      <c r="A23" s="26"/>
      <c r="B23" s="31"/>
      <c r="C23" s="61">
        <f t="shared" si="1"/>
      </c>
      <c r="D23" s="16"/>
      <c r="E23" s="29">
        <f t="shared" si="2"/>
      </c>
      <c r="F23" s="30">
        <f t="shared" si="0"/>
      </c>
      <c r="G23" s="62">
        <f t="shared" si="4"/>
      </c>
      <c r="H23" s="62">
        <f t="shared" si="3"/>
      </c>
      <c r="I23" s="55"/>
      <c r="J23" s="55"/>
      <c r="K23" s="66"/>
      <c r="L23" s="4" t="str">
        <f>IF($F$5="M","Bonded Concrete Pavement (100mm)","Bonded Concrete Pavement (4 inches)")</f>
        <v>Bonded Concrete Pavement (4 inches)</v>
      </c>
      <c r="M23" s="5">
        <f>IF($F$5="M",0.43,0.36)</f>
        <v>0.36</v>
      </c>
      <c r="O23" s="50"/>
      <c r="P23" s="67"/>
    </row>
    <row r="24" spans="1:16" ht="22.5" customHeight="1">
      <c r="A24" s="26"/>
      <c r="B24" s="31"/>
      <c r="C24" s="61">
        <f t="shared" si="1"/>
      </c>
      <c r="D24" s="16"/>
      <c r="E24" s="29">
        <f t="shared" si="2"/>
      </c>
      <c r="F24" s="30">
        <f t="shared" si="0"/>
      </c>
      <c r="G24" s="62">
        <f t="shared" si="4"/>
      </c>
      <c r="H24" s="62">
        <f t="shared" si="3"/>
      </c>
      <c r="I24" s="55"/>
      <c r="J24" s="55"/>
      <c r="K24" s="4"/>
      <c r="L24" s="4" t="str">
        <f>IF($F$5="M","","Bonded Concrete Pavement (4.5 inches)")</f>
        <v>Bonded Concrete Pavement (4.5 inches)</v>
      </c>
      <c r="M24" s="5">
        <f>IF($F$5="M",0.46,0.39)</f>
        <v>0.39</v>
      </c>
      <c r="O24" s="50"/>
      <c r="P24" s="5"/>
    </row>
    <row r="25" spans="1:16" ht="22.5" customHeight="1">
      <c r="A25" s="26"/>
      <c r="B25" s="31"/>
      <c r="C25" s="61">
        <f t="shared" si="1"/>
      </c>
      <c r="D25" s="16"/>
      <c r="E25" s="29">
        <f t="shared" si="2"/>
      </c>
      <c r="F25" s="30">
        <f t="shared" si="0"/>
      </c>
      <c r="G25" s="62">
        <f t="shared" si="4"/>
      </c>
      <c r="H25" s="62">
        <f t="shared" si="3"/>
      </c>
      <c r="I25" s="55"/>
      <c r="J25" s="55"/>
      <c r="K25" s="66"/>
      <c r="L25" s="4" t="str">
        <f>IF($F$5="M","Bonded Concrete Pavement (140mm)","Bonded Concrete Pavement (5 inches)")</f>
        <v>Bonded Concrete Pavement (5 inches)</v>
      </c>
      <c r="M25" s="5">
        <f>IF($F$5="M",0.5,0.42)</f>
        <v>0.42</v>
      </c>
      <c r="O25" s="50"/>
      <c r="P25" s="67"/>
    </row>
    <row r="26" spans="1:16" ht="22.5" customHeight="1">
      <c r="A26" s="26"/>
      <c r="B26" s="31"/>
      <c r="C26" s="61">
        <f t="shared" si="1"/>
      </c>
      <c r="D26" s="16"/>
      <c r="E26" s="29">
        <f t="shared" si="2"/>
      </c>
      <c r="F26" s="30">
        <f t="shared" si="0"/>
      </c>
      <c r="G26" s="62">
        <f t="shared" si="4"/>
      </c>
      <c r="H26" s="62">
        <f t="shared" si="3"/>
      </c>
      <c r="I26" s="55"/>
      <c r="J26" s="55"/>
      <c r="K26" s="4"/>
      <c r="L26" s="4" t="str">
        <f>IF($F$5="M","","Bonded Concrete Pavement (5.5 inches)")</f>
        <v>Bonded Concrete Pavement (5.5 inches)</v>
      </c>
      <c r="M26" s="5">
        <f>IF($F$5="M",0.53,0.45)</f>
        <v>0.45</v>
      </c>
      <c r="O26" s="50"/>
      <c r="P26" s="5"/>
    </row>
    <row r="27" spans="1:16" ht="22.5" customHeight="1">
      <c r="A27" s="26"/>
      <c r="B27" s="31"/>
      <c r="C27" s="61">
        <f t="shared" si="1"/>
      </c>
      <c r="D27" s="16"/>
      <c r="E27" s="29">
        <f t="shared" si="2"/>
      </c>
      <c r="F27" s="30">
        <f t="shared" si="0"/>
      </c>
      <c r="G27" s="62">
        <f t="shared" si="4"/>
      </c>
      <c r="H27" s="62">
        <f t="shared" si="3"/>
      </c>
      <c r="I27" s="55"/>
      <c r="J27" s="55"/>
      <c r="K27" s="66"/>
      <c r="L27" s="4" t="str">
        <f>IF($F$5="M","Bonded Concrete Pavement (160mm)","Bonded Concrete Pavement (6 inches)")</f>
        <v>Bonded Concrete Pavement (6 inches)</v>
      </c>
      <c r="M27" s="5">
        <f>IF($F$5="M",0.57,0.48)</f>
        <v>0.48</v>
      </c>
      <c r="O27" s="50"/>
      <c r="P27" s="67"/>
    </row>
    <row r="28" spans="1:16" ht="22.5" customHeight="1">
      <c r="A28" s="26"/>
      <c r="B28" s="31"/>
      <c r="C28" s="61">
        <f t="shared" si="1"/>
      </c>
      <c r="D28" s="16"/>
      <c r="E28" s="29">
        <f t="shared" si="2"/>
      </c>
      <c r="F28" s="30">
        <f t="shared" si="0"/>
      </c>
      <c r="G28" s="62">
        <f t="shared" si="4"/>
      </c>
      <c r="H28" s="62">
        <f t="shared" si="3"/>
      </c>
      <c r="I28" s="55"/>
      <c r="J28" s="55"/>
      <c r="K28" s="4"/>
      <c r="L28" s="4" t="str">
        <f>IF($F$5="M","Concrete Pavement 160 mm","Concrete Pavement 6 inches")</f>
        <v>Concrete Pavement 6 inches</v>
      </c>
      <c r="M28" s="5">
        <f>IF($F$5="M",0.58,0.48)</f>
        <v>0.48</v>
      </c>
      <c r="O28" s="50"/>
      <c r="P28" s="5"/>
    </row>
    <row r="29" spans="1:16" ht="22.5" customHeight="1">
      <c r="A29" s="26"/>
      <c r="B29" s="31"/>
      <c r="C29" s="61">
        <f t="shared" si="1"/>
      </c>
      <c r="D29" s="16"/>
      <c r="E29" s="29">
        <f t="shared" si="2"/>
      </c>
      <c r="F29" s="30">
        <f t="shared" si="0"/>
      </c>
      <c r="G29" s="62">
        <f t="shared" si="4"/>
      </c>
      <c r="H29" s="62">
        <f t="shared" si="3"/>
      </c>
      <c r="I29" s="55"/>
      <c r="J29" s="55"/>
      <c r="K29" s="4"/>
      <c r="L29" s="4" t="str">
        <f>IF($F$5="M","","Concrete Pavement 6.5 inches")</f>
        <v>Concrete Pavement 6.5 inches</v>
      </c>
      <c r="M29" s="5">
        <f>IF($F$5="M",0.61,0.51)</f>
        <v>0.51</v>
      </c>
      <c r="O29" s="50"/>
      <c r="P29" s="5"/>
    </row>
    <row r="30" spans="1:16" ht="22.5" customHeight="1">
      <c r="A30" s="26"/>
      <c r="B30" s="31"/>
      <c r="C30" s="61">
        <f t="shared" si="1"/>
      </c>
      <c r="D30" s="16"/>
      <c r="E30" s="29">
        <f t="shared" si="2"/>
      </c>
      <c r="F30" s="30">
        <f t="shared" si="0"/>
      </c>
      <c r="G30" s="62">
        <f t="shared" si="4"/>
      </c>
      <c r="H30" s="62">
        <f t="shared" si="3"/>
      </c>
      <c r="I30" s="55"/>
      <c r="J30" s="55"/>
      <c r="K30" s="4"/>
      <c r="L30" s="4" t="str">
        <f>IF($F$5="M","Concrete Pavement 180 mm","Concrete Pavement 7 inches")</f>
        <v>Concrete Pavement 7 inches</v>
      </c>
      <c r="M30" s="5">
        <f>IF($F$5="M",0.65,0.54)</f>
        <v>0.54</v>
      </c>
      <c r="O30" s="50"/>
      <c r="P30" s="5"/>
    </row>
    <row r="31" spans="1:16" ht="22.5" customHeight="1">
      <c r="A31" s="26"/>
      <c r="B31" s="31"/>
      <c r="C31" s="61">
        <f t="shared" si="1"/>
      </c>
      <c r="D31" s="16"/>
      <c r="E31" s="29">
        <f t="shared" si="2"/>
      </c>
      <c r="F31" s="30">
        <f t="shared" si="0"/>
      </c>
      <c r="G31" s="62">
        <f t="shared" si="4"/>
      </c>
      <c r="H31" s="62">
        <f t="shared" si="3"/>
      </c>
      <c r="I31" s="55"/>
      <c r="J31" s="55"/>
      <c r="K31" s="4"/>
      <c r="L31" s="4" t="str">
        <f>IF($F$5="M","Concrete Pavement 190 mm","Concrete Pavement 7.5 inches")</f>
        <v>Concrete Pavement 7.5 inches</v>
      </c>
      <c r="M31" s="5">
        <f>IF($F$5="M",0.69,0.57)</f>
        <v>0.57</v>
      </c>
      <c r="O31" s="50"/>
      <c r="P31" s="5"/>
    </row>
    <row r="32" spans="1:16" ht="22.5" customHeight="1">
      <c r="A32" s="26"/>
      <c r="B32" s="31"/>
      <c r="C32" s="61">
        <f t="shared" si="1"/>
      </c>
      <c r="D32" s="16"/>
      <c r="E32" s="29">
        <f t="shared" si="2"/>
      </c>
      <c r="F32" s="30">
        <f t="shared" si="0"/>
      </c>
      <c r="G32" s="62">
        <f t="shared" si="4"/>
      </c>
      <c r="H32" s="62">
        <f t="shared" si="3"/>
      </c>
      <c r="I32" s="55"/>
      <c r="J32" s="55"/>
      <c r="K32" s="4"/>
      <c r="L32" s="4" t="str">
        <f>IF($F$5="M","Concrete Pavement 200 mm","Concrete Pavement 8 inches")</f>
        <v>Concrete Pavement 8 inches</v>
      </c>
      <c r="M32" s="5">
        <f>IF($F$5="M",0.72,0.6)</f>
        <v>0.6</v>
      </c>
      <c r="O32" s="50"/>
      <c r="P32" s="5"/>
    </row>
    <row r="33" spans="1:16" ht="22.5" customHeight="1">
      <c r="A33" s="26"/>
      <c r="B33" s="31"/>
      <c r="C33" s="61">
        <f t="shared" si="1"/>
      </c>
      <c r="D33" s="16"/>
      <c r="E33" s="29">
        <f t="shared" si="2"/>
      </c>
      <c r="F33" s="30">
        <f t="shared" si="0"/>
      </c>
      <c r="G33" s="62">
        <f t="shared" si="4"/>
      </c>
      <c r="H33" s="62">
        <f t="shared" si="3"/>
      </c>
      <c r="I33" s="55"/>
      <c r="J33" s="55"/>
      <c r="K33" s="6"/>
      <c r="L33" s="4" t="str">
        <f>IF($F$5="M","Concrete Pavement 220 mm","Concrete Pavement 8 1/2 inches")</f>
        <v>Concrete Pavement 8 1/2 inches</v>
      </c>
      <c r="M33" s="5">
        <f>IF($F$5="M",0.76,0.63)</f>
        <v>0.63</v>
      </c>
      <c r="N33" s="6"/>
      <c r="O33" s="50"/>
      <c r="P33" s="50"/>
    </row>
    <row r="34" spans="1:16" ht="22.5" customHeight="1">
      <c r="A34" s="26"/>
      <c r="B34" s="31"/>
      <c r="C34" s="61">
        <f t="shared" si="1"/>
      </c>
      <c r="D34" s="16"/>
      <c r="E34" s="29">
        <f t="shared" si="2"/>
      </c>
      <c r="F34" s="30">
        <f t="shared" si="0"/>
      </c>
      <c r="G34" s="62">
        <f t="shared" si="4"/>
      </c>
      <c r="H34" s="62">
        <f t="shared" si="3"/>
      </c>
      <c r="I34" s="55"/>
      <c r="J34" s="55"/>
      <c r="K34" s="7"/>
      <c r="L34" s="4" t="str">
        <f>IF($F$5="M","Concrete Pavement 230 mm","Concrete Pavement 9 inches")</f>
        <v>Concrete Pavement 9 inches</v>
      </c>
      <c r="M34" s="5">
        <f>IF($F$5="M",0.79,0.66)</f>
        <v>0.66</v>
      </c>
      <c r="N34" s="6"/>
      <c r="O34" s="50"/>
      <c r="P34" s="50"/>
    </row>
    <row r="35" spans="1:16" ht="22.5" customHeight="1">
      <c r="A35" s="26"/>
      <c r="B35" s="31"/>
      <c r="C35" s="61">
        <f t="shared" si="1"/>
      </c>
      <c r="D35" s="16"/>
      <c r="E35" s="29">
        <f t="shared" si="2"/>
      </c>
      <c r="F35" s="30">
        <f t="shared" si="0"/>
      </c>
      <c r="G35" s="62">
        <f t="shared" si="4"/>
      </c>
      <c r="H35" s="62">
        <f t="shared" si="3"/>
      </c>
      <c r="I35" s="55"/>
      <c r="J35" s="55"/>
      <c r="K35" s="7"/>
      <c r="L35" s="4" t="str">
        <f>IF($F$5="M","Concrete Pavement 240 mm","Concrete Pavement 9 1/2 inches")</f>
        <v>Concrete Pavement 9 1/2 inches</v>
      </c>
      <c r="M35" s="5">
        <f>IF($F$5="M",0.82,0.69)</f>
        <v>0.69</v>
      </c>
      <c r="N35" s="6"/>
      <c r="O35" s="50"/>
      <c r="P35" s="50"/>
    </row>
    <row r="36" spans="1:16" ht="22.5" customHeight="1">
      <c r="A36" s="26"/>
      <c r="B36" s="31"/>
      <c r="C36" s="61">
        <f t="shared" si="1"/>
      </c>
      <c r="D36" s="16"/>
      <c r="E36" s="29">
        <f t="shared" si="2"/>
      </c>
      <c r="F36" s="30">
        <f t="shared" si="0"/>
      </c>
      <c r="G36" s="62">
        <f t="shared" si="4"/>
      </c>
      <c r="H36" s="62">
        <f t="shared" si="3"/>
      </c>
      <c r="I36" s="55"/>
      <c r="J36" s="55"/>
      <c r="K36" s="7"/>
      <c r="L36" s="4" t="str">
        <f>IF($F$5="M","Concrete Pavement 250 mm","Concrete Pavement 10 inches")</f>
        <v>Concrete Pavement 10 inches</v>
      </c>
      <c r="M36" s="5">
        <f>IF($F$5="M",0.86,0.72)</f>
        <v>0.72</v>
      </c>
      <c r="N36" s="6"/>
      <c r="O36" s="50"/>
      <c r="P36" s="50"/>
    </row>
    <row r="37" spans="1:16" ht="22.5" customHeight="1">
      <c r="A37" s="26"/>
      <c r="B37" s="31"/>
      <c r="C37" s="61">
        <f t="shared" si="1"/>
      </c>
      <c r="D37" s="16"/>
      <c r="E37" s="29">
        <f t="shared" si="2"/>
      </c>
      <c r="F37" s="30">
        <f t="shared" si="0"/>
      </c>
      <c r="G37" s="62">
        <f t="shared" si="4"/>
      </c>
      <c r="H37" s="62">
        <f t="shared" si="3"/>
      </c>
      <c r="I37" s="55"/>
      <c r="J37" s="55"/>
      <c r="K37" s="7"/>
      <c r="L37" s="4">
        <f>IF(F5="M","Concrete Pavement 260 mm","")</f>
      </c>
      <c r="M37" s="5">
        <v>0.86</v>
      </c>
      <c r="N37" s="6"/>
      <c r="O37" s="50"/>
      <c r="P37" s="50"/>
    </row>
    <row r="38" spans="1:16" ht="22.5" customHeight="1">
      <c r="A38" s="26"/>
      <c r="B38" s="31"/>
      <c r="C38" s="61">
        <f t="shared" si="1"/>
      </c>
      <c r="D38" s="16"/>
      <c r="E38" s="29">
        <f t="shared" si="2"/>
      </c>
      <c r="F38" s="30">
        <f t="shared" si="0"/>
      </c>
      <c r="G38" s="62">
        <f t="shared" si="4"/>
      </c>
      <c r="H38" s="62">
        <f t="shared" si="3"/>
      </c>
      <c r="I38" s="55"/>
      <c r="J38" s="55"/>
      <c r="K38" s="7"/>
      <c r="L38" s="4" t="str">
        <f>IF($F$5="M","Concrete Pavement 270 mm","Concrete Pavement 10 1/2 inches")</f>
        <v>Concrete Pavement 10 1/2 inches</v>
      </c>
      <c r="M38" s="5">
        <f>IF($F$5="M",0.89,0.75)</f>
        <v>0.75</v>
      </c>
      <c r="N38" s="6"/>
      <c r="O38" s="50"/>
      <c r="P38" s="50"/>
    </row>
    <row r="39" spans="1:16" ht="22.5" customHeight="1">
      <c r="A39" s="39"/>
      <c r="B39" s="40"/>
      <c r="C39" s="32"/>
      <c r="D39" s="32"/>
      <c r="E39" s="33"/>
      <c r="F39" s="34"/>
      <c r="G39" s="35"/>
      <c r="H39" s="36" t="s">
        <v>66</v>
      </c>
      <c r="I39" s="47"/>
      <c r="J39" s="55"/>
      <c r="K39" s="7"/>
      <c r="L39" s="4" t="str">
        <f>IF($F$5="M","Concrete Pavement 280 mm","Concrete Pavement 11 inches")</f>
        <v>Concrete Pavement 11 inches</v>
      </c>
      <c r="M39" s="5">
        <f>IF($F$5="M",0.93,0.78)</f>
        <v>0.78</v>
      </c>
      <c r="N39" s="6"/>
      <c r="O39" s="50"/>
      <c r="P39" s="50"/>
    </row>
    <row r="40" spans="9:14" ht="12.75">
      <c r="I40" s="41"/>
      <c r="J40" s="41"/>
      <c r="K40" s="7"/>
      <c r="L40" s="4" t="str">
        <f>IF($F$5="M","Concrete Pavement 290 mm","Concrete Pavement 11 1/2 inches")</f>
        <v>Concrete Pavement 11 1/2 inches</v>
      </c>
      <c r="M40" s="5">
        <f>IF($F$5="M",0.96,0.81)</f>
        <v>0.81</v>
      </c>
      <c r="N40" s="6"/>
    </row>
    <row r="41" spans="1:14" ht="12.75">
      <c r="A41" s="42"/>
      <c r="B41" s="43"/>
      <c r="C41" s="44"/>
      <c r="D41" s="44"/>
      <c r="E41" s="45"/>
      <c r="F41" s="46"/>
      <c r="G41" s="47"/>
      <c r="H41" s="47"/>
      <c r="I41" s="47"/>
      <c r="J41" s="47"/>
      <c r="K41" s="7"/>
      <c r="L41" s="4" t="str">
        <f>IF($F$5="M","Concrete Pavement 300 mm","Concrete Pavement 12 inches")</f>
        <v>Concrete Pavement 12 inches</v>
      </c>
      <c r="M41" s="5">
        <f>IF($F$5="M",0.99,0.83)</f>
        <v>0.83</v>
      </c>
      <c r="N41" s="6"/>
    </row>
    <row r="42" spans="1:14" ht="12.75">
      <c r="A42" s="42"/>
      <c r="B42" s="43"/>
      <c r="C42" s="44"/>
      <c r="D42" s="44"/>
      <c r="E42" s="45"/>
      <c r="F42" s="46"/>
      <c r="G42" s="47"/>
      <c r="H42" s="47"/>
      <c r="I42" s="47"/>
      <c r="J42" s="47"/>
      <c r="K42" s="7"/>
      <c r="L42" s="4" t="str">
        <f>IF($F$5="M","Concrete Pavement 320 mm","Concrete Pavement 12 1/2 inches")</f>
        <v>Concrete Pavement 12 1/2 inches</v>
      </c>
      <c r="M42" s="5">
        <f>IF($F$5="M",1.02,0.86)</f>
        <v>0.86</v>
      </c>
      <c r="N42" s="6"/>
    </row>
    <row r="43" spans="1:14" ht="12.75">
      <c r="A43" s="42"/>
      <c r="B43" s="43"/>
      <c r="C43" s="44"/>
      <c r="D43" s="44"/>
      <c r="E43" s="45"/>
      <c r="F43" s="46"/>
      <c r="G43" s="47"/>
      <c r="H43" s="47"/>
      <c r="I43" s="47"/>
      <c r="J43" s="47"/>
      <c r="K43" s="7"/>
      <c r="L43" s="4" t="str">
        <f>IF($F$5="M","Concrete Pavement 330 mm","Concrete Pavement 13 inches")</f>
        <v>Concrete Pavement 13 inches</v>
      </c>
      <c r="M43" s="5">
        <f>IF($F$5="M",1.06,0.89)</f>
        <v>0.89</v>
      </c>
      <c r="N43" s="6"/>
    </row>
    <row r="44" spans="1:14" ht="12.75">
      <c r="A44" s="42"/>
      <c r="B44" s="43"/>
      <c r="C44" s="44"/>
      <c r="D44" s="44"/>
      <c r="E44" s="45"/>
      <c r="F44" s="46"/>
      <c r="G44" s="47"/>
      <c r="H44" s="47"/>
      <c r="I44" s="47"/>
      <c r="J44" s="47"/>
      <c r="K44" s="7"/>
      <c r="L44" s="4" t="str">
        <f>IF($F$5="M","Concrete Pavement 340 mm","Concrete Pavement 13 1/2 inches")</f>
        <v>Concrete Pavement 13 1/2 inches</v>
      </c>
      <c r="M44" s="5">
        <f>IF($F$5="M",1.1,0.92)</f>
        <v>0.92</v>
      </c>
      <c r="N44" s="6"/>
    </row>
    <row r="45" spans="1:14" ht="12.75">
      <c r="A45" s="42"/>
      <c r="B45" s="43"/>
      <c r="C45" s="44"/>
      <c r="D45" s="44"/>
      <c r="E45" s="45"/>
      <c r="F45" s="46"/>
      <c r="G45" s="47"/>
      <c r="H45" s="47"/>
      <c r="I45" s="47"/>
      <c r="J45" s="47"/>
      <c r="K45" s="7"/>
      <c r="L45" s="4" t="str">
        <f>IF($F$5="M","Concrete Pavement 360 mm","Concrete Pavement 14 inches")</f>
        <v>Concrete Pavement 14 inches</v>
      </c>
      <c r="M45" s="5">
        <f>IF($F$5="M",1.14,0.95)</f>
        <v>0.95</v>
      </c>
      <c r="N45" s="6"/>
    </row>
    <row r="46" spans="1:14" ht="12.75">
      <c r="A46" s="48"/>
      <c r="B46" s="48"/>
      <c r="C46" s="48"/>
      <c r="D46" s="48"/>
      <c r="E46" s="49"/>
      <c r="F46" s="48"/>
      <c r="G46" s="48"/>
      <c r="H46" s="48"/>
      <c r="I46" s="48"/>
      <c r="J46" s="48"/>
      <c r="K46" s="7"/>
      <c r="L46" s="4" t="str">
        <f>IF($F$5="M","Concrete Pavement 370 mm","Concrete Pavement 14 1/2 inches")</f>
        <v>Concrete Pavement 14 1/2 inches</v>
      </c>
      <c r="M46" s="5">
        <f>IF($F$5="M",1.17,0.98)</f>
        <v>0.98</v>
      </c>
      <c r="N46" s="6"/>
    </row>
    <row r="47" spans="1:14" ht="12.75">
      <c r="A47" s="50"/>
      <c r="B47" s="50"/>
      <c r="C47" s="50"/>
      <c r="D47" s="50"/>
      <c r="E47" s="51"/>
      <c r="F47" s="50"/>
      <c r="G47" s="50"/>
      <c r="H47" s="50"/>
      <c r="I47" s="50"/>
      <c r="J47" s="50"/>
      <c r="K47" s="7"/>
      <c r="L47" s="4" t="s">
        <v>60</v>
      </c>
      <c r="M47" s="5">
        <f>IF($F$5="M",334.65,10.2)</f>
        <v>10.2</v>
      </c>
      <c r="N47" s="6"/>
    </row>
    <row r="48" spans="1:14" ht="12.75">
      <c r="A48" s="50"/>
      <c r="B48" s="50"/>
      <c r="C48" s="50"/>
      <c r="D48" s="50"/>
      <c r="E48" s="51"/>
      <c r="F48" s="50"/>
      <c r="G48" s="50"/>
      <c r="H48" s="50"/>
      <c r="I48" s="50"/>
      <c r="J48" s="50"/>
      <c r="K48" s="7"/>
      <c r="L48" s="4" t="s">
        <v>59</v>
      </c>
      <c r="M48" s="5">
        <f>IF($F$5="M",2.65,2.4)</f>
        <v>2.4</v>
      </c>
      <c r="N48" s="6"/>
    </row>
    <row r="49" spans="1:14" ht="12.75">
      <c r="A49" s="50"/>
      <c r="B49" s="50"/>
      <c r="C49" s="50"/>
      <c r="D49" s="50"/>
      <c r="E49" s="51"/>
      <c r="F49" s="50"/>
      <c r="G49" s="50"/>
      <c r="H49" s="50"/>
      <c r="I49" s="50"/>
      <c r="J49" s="50"/>
      <c r="K49" s="7"/>
      <c r="L49" s="4" t="s">
        <v>64</v>
      </c>
      <c r="M49" s="5">
        <f>IF($F$5="M",2.65,2.4)</f>
        <v>2.4</v>
      </c>
      <c r="N49" s="6"/>
    </row>
    <row r="50" spans="1:14" ht="12.75">
      <c r="A50" s="50"/>
      <c r="B50" s="50"/>
      <c r="C50" s="50"/>
      <c r="D50" s="50"/>
      <c r="E50" s="51"/>
      <c r="F50" s="50"/>
      <c r="G50" s="50"/>
      <c r="H50" s="50"/>
      <c r="I50" s="50"/>
      <c r="J50" s="50"/>
      <c r="K50" s="7"/>
      <c r="L50" s="4" t="s">
        <v>65</v>
      </c>
      <c r="M50" s="5">
        <f>IF($F$5="M",2.65,2.4)</f>
        <v>2.4</v>
      </c>
      <c r="N50" s="6"/>
    </row>
    <row r="51" spans="11:13" ht="12.75">
      <c r="K51" s="7"/>
      <c r="L51" s="4"/>
      <c r="M51" s="5"/>
    </row>
    <row r="52" spans="11:13" ht="12.75">
      <c r="K52" s="7"/>
      <c r="L52" s="6"/>
      <c r="M52" s="6"/>
    </row>
    <row r="53" spans="11:13" ht="12.75">
      <c r="K53" s="7"/>
      <c r="L53" s="37"/>
      <c r="M53" s="37"/>
    </row>
    <row r="54" spans="11:13" ht="12.75">
      <c r="K54" s="7"/>
      <c r="L54" s="37"/>
      <c r="M54" s="37"/>
    </row>
    <row r="55" spans="12:13" ht="12.75">
      <c r="L55" s="37"/>
      <c r="M55" s="37"/>
    </row>
    <row r="56" spans="12:13" ht="12.75">
      <c r="L56" s="37"/>
      <c r="M56" s="37"/>
    </row>
    <row r="57" spans="12:13" ht="12.75">
      <c r="L57" s="37"/>
      <c r="M57" s="37"/>
    </row>
    <row r="58" spans="12:13" ht="12.75">
      <c r="L58" s="37"/>
      <c r="M58" s="37"/>
    </row>
    <row r="59" spans="12:13" ht="12.75">
      <c r="L59" s="37"/>
      <c r="M59" s="37"/>
    </row>
    <row r="60" spans="12:13" ht="12.75">
      <c r="L60" s="37"/>
      <c r="M60" s="37"/>
    </row>
    <row r="61" spans="12:13" ht="12.75">
      <c r="L61" s="37"/>
      <c r="M61" s="37"/>
    </row>
    <row r="62" spans="12:13" ht="12.75">
      <c r="L62" s="37"/>
      <c r="M62" s="37"/>
    </row>
    <row r="63" spans="12:13" ht="12.75">
      <c r="L63" s="37"/>
      <c r="M63" s="37"/>
    </row>
    <row r="64" spans="12:13" ht="12.75">
      <c r="L64" s="37"/>
      <c r="M64" s="37"/>
    </row>
    <row r="65" spans="12:13" ht="12.75">
      <c r="L65" s="37"/>
      <c r="M65" s="37"/>
    </row>
    <row r="66" spans="12:13" ht="12.75">
      <c r="L66" s="37"/>
      <c r="M66" s="37"/>
    </row>
    <row r="67" spans="12:13" ht="12.75">
      <c r="L67" s="37"/>
      <c r="M67" s="37"/>
    </row>
    <row r="68" spans="12:13" ht="12.75">
      <c r="L68" s="37"/>
      <c r="M68" s="37"/>
    </row>
    <row r="69" spans="12:13" ht="12.75">
      <c r="L69" s="37"/>
      <c r="M69" s="37"/>
    </row>
    <row r="70" ht="12.75">
      <c r="L70" s="37"/>
    </row>
    <row r="71" ht="12.75">
      <c r="L71" s="37"/>
    </row>
    <row r="72" ht="12.75">
      <c r="L72" s="37"/>
    </row>
  </sheetData>
  <sheetProtection password="BF11" sheet="1" objects="1" scenarios="1" selectLockedCells="1"/>
  <mergeCells count="4">
    <mergeCell ref="F3:H3"/>
    <mergeCell ref="F4:H4"/>
    <mergeCell ref="D5:E5"/>
    <mergeCell ref="B6:E6"/>
  </mergeCells>
  <dataValidations count="1">
    <dataValidation type="list" allowBlank="1" showInputMessage="1" showErrorMessage="1" promptTitle="Data Entry Restriction!" prompt="Please select one item from this drop down box. No other values will be accepted." errorTitle="Wrong data!" error="Please enter a value from the drop down list." sqref="B6:E6">
      <formula1>$L$7:$L$50</formula1>
    </dataValidation>
  </dataValidations>
  <printOptions/>
  <pageMargins left="1.06" right="0.5" top="0.5" bottom="0" header="0.5" footer="0"/>
  <pageSetup blackAndWhite="1" fitToHeight="1" fitToWidth="1" horizontalDpi="600" verticalDpi="600" orientation="portrait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"/>
  <sheetViews>
    <sheetView showGridLines="0" showRowColHeaders="0" zoomScalePageLayoutView="0" workbookViewId="0" topLeftCell="A1">
      <selection activeCell="B6" sqref="B6:E6"/>
    </sheetView>
  </sheetViews>
  <sheetFormatPr defaultColWidth="9.140625" defaultRowHeight="12.75"/>
  <cols>
    <col min="1" max="1" width="13.00390625" style="0" customWidth="1"/>
    <col min="2" max="2" width="13.28125" style="0" customWidth="1"/>
    <col min="3" max="3" width="9.00390625" style="0" customWidth="1"/>
    <col min="4" max="4" width="9.28125" style="0" customWidth="1"/>
    <col min="5" max="5" width="11.00390625" style="1" customWidth="1"/>
    <col min="6" max="6" width="10.57421875" style="0" customWidth="1"/>
    <col min="7" max="8" width="16.00390625" style="0" bestFit="1" customWidth="1"/>
    <col min="11" max="11" width="3.57421875" style="0" customWidth="1"/>
    <col min="12" max="12" width="47.00390625" style="0" hidden="1" customWidth="1"/>
    <col min="13" max="13" width="8.28125" style="0" hidden="1" customWidth="1"/>
    <col min="14" max="14" width="7.140625" style="0" customWidth="1"/>
    <col min="15" max="16" width="9.140625" style="0" customWidth="1"/>
  </cols>
  <sheetData>
    <row r="1" spans="1:16" ht="15">
      <c r="A1" s="8"/>
      <c r="B1" s="8"/>
      <c r="C1" s="9" t="s">
        <v>67</v>
      </c>
      <c r="D1" s="8"/>
      <c r="E1" s="10"/>
      <c r="F1" s="8"/>
      <c r="G1" s="8"/>
      <c r="H1" s="8"/>
      <c r="I1" s="52"/>
      <c r="J1" s="52"/>
      <c r="K1" s="50"/>
      <c r="L1" s="50"/>
      <c r="M1" s="50"/>
      <c r="N1" s="50"/>
      <c r="O1" s="50"/>
      <c r="P1" s="50"/>
    </row>
    <row r="2" spans="1:16" ht="17.25" customHeight="1">
      <c r="A2" s="8"/>
      <c r="B2" s="8"/>
      <c r="C2" s="8"/>
      <c r="D2" s="8"/>
      <c r="E2" s="10"/>
      <c r="F2" s="8"/>
      <c r="G2" s="8"/>
      <c r="H2" s="8"/>
      <c r="I2" s="52"/>
      <c r="J2" s="52"/>
      <c r="K2" s="50"/>
      <c r="L2" s="50"/>
      <c r="M2" s="50"/>
      <c r="N2" s="50"/>
      <c r="O2" s="50"/>
      <c r="P2" s="50"/>
    </row>
    <row r="3" spans="1:16" ht="21" customHeight="1">
      <c r="A3" s="11"/>
      <c r="B3" s="12"/>
      <c r="C3" s="11"/>
      <c r="D3" s="11"/>
      <c r="E3" s="63" t="s">
        <v>42</v>
      </c>
      <c r="F3" s="97">
        <f>IF('Item 1'!F3:H3="","",'Item 1'!F3:H3)</f>
      </c>
      <c r="G3" s="97"/>
      <c r="H3" s="97"/>
      <c r="I3" s="53"/>
      <c r="J3" s="53"/>
      <c r="K3" s="50"/>
      <c r="L3" s="50"/>
      <c r="M3" s="50"/>
      <c r="N3" s="50"/>
      <c r="O3" s="50"/>
      <c r="P3" s="50"/>
    </row>
    <row r="4" spans="1:16" ht="21" customHeight="1">
      <c r="A4" s="13" t="s">
        <v>43</v>
      </c>
      <c r="B4" s="82">
        <f>IF('Item 1'!B4="","",'Item 1'!B4)</f>
      </c>
      <c r="C4" s="38"/>
      <c r="D4" s="11"/>
      <c r="E4" s="64" t="s">
        <v>41</v>
      </c>
      <c r="F4" s="98">
        <f>IF('Item 1'!F4:H4="","",'Item 1'!F4:H4)</f>
      </c>
      <c r="G4" s="99"/>
      <c r="H4" s="100"/>
      <c r="I4" s="53"/>
      <c r="J4" s="53"/>
      <c r="K4" s="50"/>
      <c r="L4" s="57"/>
      <c r="M4" s="50"/>
      <c r="N4" s="50"/>
      <c r="O4" s="50"/>
      <c r="P4" s="50"/>
    </row>
    <row r="5" spans="1:16" ht="21" customHeight="1">
      <c r="A5" s="79" t="s">
        <v>44</v>
      </c>
      <c r="B5" s="15"/>
      <c r="C5" s="81">
        <f>IF('Item 1'!C5="","",'Item 1'!C5)</f>
      </c>
      <c r="D5" s="95" t="s">
        <v>46</v>
      </c>
      <c r="E5" s="96"/>
      <c r="F5" s="80">
        <f>IF('Item 1'!F5="","",'Item 1'!F5)</f>
      </c>
      <c r="G5" s="65" t="s">
        <v>45</v>
      </c>
      <c r="H5" s="60">
        <f>IF(B6="","",VLOOKUP(B6,L7:M50,2,FALSE))</f>
      </c>
      <c r="I5" s="53"/>
      <c r="J5" s="53"/>
      <c r="K5" s="4"/>
      <c r="L5" s="56"/>
      <c r="N5" s="4"/>
      <c r="O5" s="50"/>
      <c r="P5" s="50"/>
    </row>
    <row r="6" spans="1:16" ht="21" customHeight="1">
      <c r="A6" s="79" t="s">
        <v>20</v>
      </c>
      <c r="B6" s="88"/>
      <c r="C6" s="89"/>
      <c r="D6" s="89"/>
      <c r="E6" s="90"/>
      <c r="F6" s="58"/>
      <c r="H6" s="59"/>
      <c r="I6" s="53"/>
      <c r="J6" s="53"/>
      <c r="K6" s="4"/>
      <c r="L6" s="4" t="s">
        <v>21</v>
      </c>
      <c r="M6" s="4" t="s">
        <v>37</v>
      </c>
      <c r="O6" s="50"/>
      <c r="P6" s="4"/>
    </row>
    <row r="7" spans="1:16" ht="12.75">
      <c r="A7" s="11"/>
      <c r="B7" s="11"/>
      <c r="C7" s="17"/>
      <c r="D7" s="11"/>
      <c r="E7" s="7"/>
      <c r="F7" s="11"/>
      <c r="G7" s="11"/>
      <c r="H7" s="11"/>
      <c r="I7" s="53"/>
      <c r="J7" s="53"/>
      <c r="K7" s="4"/>
      <c r="L7" s="4" t="s">
        <v>22</v>
      </c>
      <c r="M7" s="5">
        <f>IF($F$5="M",0.33,0.25)</f>
        <v>0.25</v>
      </c>
      <c r="O7" s="50"/>
      <c r="P7" s="5"/>
    </row>
    <row r="8" spans="1:16" ht="12.75">
      <c r="A8" s="18" t="s">
        <v>0</v>
      </c>
      <c r="B8" s="18" t="s">
        <v>18</v>
      </c>
      <c r="C8" s="19" t="s">
        <v>2</v>
      </c>
      <c r="D8" s="18" t="s">
        <v>5</v>
      </c>
      <c r="E8" s="20" t="s">
        <v>8</v>
      </c>
      <c r="F8" s="18" t="s">
        <v>10</v>
      </c>
      <c r="G8" s="18" t="s">
        <v>13</v>
      </c>
      <c r="H8" s="18" t="s">
        <v>8</v>
      </c>
      <c r="I8" s="54"/>
      <c r="J8" s="54"/>
      <c r="K8" s="4"/>
      <c r="L8" s="4" t="s">
        <v>61</v>
      </c>
      <c r="M8" s="5">
        <f>IF($F$5="M",0.33,0.25)</f>
        <v>0.25</v>
      </c>
      <c r="O8" s="50"/>
      <c r="P8" s="5"/>
    </row>
    <row r="9" spans="1:16" ht="12.75">
      <c r="A9" s="21"/>
      <c r="B9" s="22" t="s">
        <v>16</v>
      </c>
      <c r="C9" s="22" t="s">
        <v>3</v>
      </c>
      <c r="D9" s="22" t="s">
        <v>6</v>
      </c>
      <c r="E9" s="23"/>
      <c r="F9" s="22" t="s">
        <v>11</v>
      </c>
      <c r="G9" s="22" t="s">
        <v>14</v>
      </c>
      <c r="H9" s="22" t="s">
        <v>9</v>
      </c>
      <c r="I9" s="54"/>
      <c r="J9" s="54"/>
      <c r="K9" s="4"/>
      <c r="L9" s="4" t="s">
        <v>19</v>
      </c>
      <c r="M9" s="5">
        <f>IF($F$5="M",0.43,0.33)</f>
        <v>0.33</v>
      </c>
      <c r="O9" s="50"/>
      <c r="P9" s="5"/>
    </row>
    <row r="10" spans="1:16" ht="12.75">
      <c r="A10" s="24" t="s">
        <v>1</v>
      </c>
      <c r="B10" s="24" t="s">
        <v>17</v>
      </c>
      <c r="C10" s="24" t="s">
        <v>4</v>
      </c>
      <c r="D10" s="24" t="s">
        <v>7</v>
      </c>
      <c r="E10" s="25" t="s">
        <v>9</v>
      </c>
      <c r="F10" s="24" t="s">
        <v>12</v>
      </c>
      <c r="G10" s="24" t="s">
        <v>15</v>
      </c>
      <c r="H10" s="24" t="s">
        <v>15</v>
      </c>
      <c r="I10" s="54"/>
      <c r="J10" s="54"/>
      <c r="K10" s="4"/>
      <c r="L10" s="4" t="s">
        <v>62</v>
      </c>
      <c r="M10" s="5">
        <f>IF($F$5="M",0.43,0.33)</f>
        <v>0.33</v>
      </c>
      <c r="O10" s="50"/>
      <c r="P10" s="5"/>
    </row>
    <row r="11" spans="1:16" ht="22.5" customHeight="1">
      <c r="A11" s="26"/>
      <c r="B11" s="27"/>
      <c r="C11" s="61">
        <f>IF(H5="","",ABS($H$5))</f>
      </c>
      <c r="D11" s="28"/>
      <c r="E11" s="29">
        <f>IF(D11="","",+D11)</f>
      </c>
      <c r="F11" s="30">
        <f>+IF(B11="","",(B11-$C$5))</f>
      </c>
      <c r="G11" s="62">
        <f>IF(C11="","",IF(F11="","",+C11*D11*F11))</f>
      </c>
      <c r="H11" s="62">
        <f>+G11</f>
      </c>
      <c r="I11" s="54"/>
      <c r="J11" s="54"/>
      <c r="K11" s="4"/>
      <c r="L11" s="4" t="s">
        <v>24</v>
      </c>
      <c r="M11" s="5">
        <f>IF($F$5="M",0.38,0.29)</f>
        <v>0.29</v>
      </c>
      <c r="O11" s="50"/>
      <c r="P11" s="5"/>
    </row>
    <row r="12" spans="1:16" ht="22.5" customHeight="1">
      <c r="A12" s="26"/>
      <c r="B12" s="31"/>
      <c r="C12" s="61">
        <f>IF(B12="","",ABS($H$5))</f>
      </c>
      <c r="D12" s="16"/>
      <c r="E12" s="29">
        <f>IF(D12="","",+D12+E11)</f>
      </c>
      <c r="F12" s="30">
        <f aca="true" t="shared" si="0" ref="F12:F38">+IF(B12="","",(B12-$C$5))</f>
      </c>
      <c r="G12" s="62">
        <f>IF(C12="","",IF(F12="","",+C12*D12*F12))</f>
      </c>
      <c r="H12" s="62">
        <f>IF(G12="","",+H11+G12)</f>
      </c>
      <c r="I12" s="55"/>
      <c r="J12" s="55"/>
      <c r="K12" s="4"/>
      <c r="L12" s="4" t="s">
        <v>25</v>
      </c>
      <c r="M12" s="5">
        <f>IF($F$5="M",0.39,0.3)</f>
        <v>0.3</v>
      </c>
      <c r="O12" s="50"/>
      <c r="P12" s="5"/>
    </row>
    <row r="13" spans="1:16" ht="22.5" customHeight="1">
      <c r="A13" s="26"/>
      <c r="B13" s="31"/>
      <c r="C13" s="61">
        <f aca="true" t="shared" si="1" ref="C13:C38">IF(B13="","",ABS($H$5))</f>
      </c>
      <c r="D13" s="16"/>
      <c r="E13" s="29">
        <f aca="true" t="shared" si="2" ref="E13:E38">IF(D13="","",+D13+E12)</f>
      </c>
      <c r="F13" s="30">
        <f t="shared" si="0"/>
      </c>
      <c r="G13" s="62">
        <f>IF(C13="","",IF(F13="","",+C13*D13*F13))</f>
      </c>
      <c r="H13" s="62">
        <f aca="true" t="shared" si="3" ref="H13:H38">IF(G13="","",+H12+G13)</f>
      </c>
      <c r="I13" s="55"/>
      <c r="J13" s="55"/>
      <c r="K13" s="4"/>
      <c r="L13" s="4" t="s">
        <v>63</v>
      </c>
      <c r="M13" s="5">
        <f>IF($F$5="M",0.36,0.3)</f>
        <v>0.3</v>
      </c>
      <c r="O13" s="50"/>
      <c r="P13" s="5"/>
    </row>
    <row r="14" spans="1:16" ht="22.5" customHeight="1">
      <c r="A14" s="26"/>
      <c r="B14" s="31"/>
      <c r="C14" s="61">
        <f t="shared" si="1"/>
      </c>
      <c r="D14" s="16"/>
      <c r="E14" s="29">
        <f t="shared" si="2"/>
      </c>
      <c r="F14" s="30">
        <f t="shared" si="0"/>
      </c>
      <c r="G14" s="62">
        <f>IF(C14="","",IF(F14="","",+C14*D14*F14))</f>
      </c>
      <c r="H14" s="62">
        <f t="shared" si="3"/>
      </c>
      <c r="I14" s="55"/>
      <c r="J14" s="55"/>
      <c r="K14" s="66"/>
      <c r="L14" s="4" t="str">
        <f>IF($F$5="M","Concrete Placement:  75mm","Concrete Placement:  3 inches")</f>
        <v>Concrete Placement:  3 inches</v>
      </c>
      <c r="M14" s="5">
        <f>IF($F$5="M",0.36,0.3)</f>
        <v>0.3</v>
      </c>
      <c r="O14" s="50"/>
      <c r="P14" s="67"/>
    </row>
    <row r="15" spans="1:16" ht="22.5" customHeight="1">
      <c r="A15" s="26"/>
      <c r="B15" s="31"/>
      <c r="C15" s="61">
        <f t="shared" si="1"/>
      </c>
      <c r="D15" s="16"/>
      <c r="E15" s="29">
        <f t="shared" si="2"/>
      </c>
      <c r="F15" s="30">
        <f t="shared" si="0"/>
      </c>
      <c r="G15" s="62">
        <f>IF(C15="","",IF(F15="","",+C15*D15*F15))</f>
      </c>
      <c r="H15" s="62">
        <f t="shared" si="3"/>
      </c>
      <c r="I15" s="55"/>
      <c r="J15" s="55"/>
      <c r="K15" s="66"/>
      <c r="L15" s="4" t="str">
        <f>IF($F$5="M","","Concrete Placement:  3.5 inches")</f>
        <v>Concrete Placement:  3.5 inches</v>
      </c>
      <c r="M15" s="5">
        <f>IF($F$5="M",0.39,0.33)</f>
        <v>0.33</v>
      </c>
      <c r="O15" s="50"/>
      <c r="P15" s="67"/>
    </row>
    <row r="16" spans="1:16" ht="22.5" customHeight="1">
      <c r="A16" s="26"/>
      <c r="B16" s="31"/>
      <c r="C16" s="61">
        <f t="shared" si="1"/>
      </c>
      <c r="D16" s="16"/>
      <c r="E16" s="29">
        <f t="shared" si="2"/>
      </c>
      <c r="F16" s="30">
        <f t="shared" si="0"/>
      </c>
      <c r="G16" s="62">
        <f aca="true" t="shared" si="4" ref="G16:G38">IF(F16="","",+C16*D16*F16)</f>
      </c>
      <c r="H16" s="62">
        <f t="shared" si="3"/>
      </c>
      <c r="I16" s="55"/>
      <c r="J16" s="55"/>
      <c r="K16" s="4"/>
      <c r="L16" s="4" t="str">
        <f>IF($F$5="M","Concrete Placement:  100mm","Concrete Placement:  4 inches")</f>
        <v>Concrete Placement:  4 inches</v>
      </c>
      <c r="M16" s="5">
        <f>IF($F$5="M",0.43,0.36)</f>
        <v>0.36</v>
      </c>
      <c r="O16" s="50"/>
      <c r="P16" s="5"/>
    </row>
    <row r="17" spans="1:16" ht="22.5" customHeight="1">
      <c r="A17" s="26"/>
      <c r="B17" s="31"/>
      <c r="C17" s="61">
        <f t="shared" si="1"/>
      </c>
      <c r="D17" s="16"/>
      <c r="E17" s="29">
        <f t="shared" si="2"/>
      </c>
      <c r="F17" s="30">
        <f t="shared" si="0"/>
      </c>
      <c r="G17" s="62">
        <f t="shared" si="4"/>
      </c>
      <c r="H17" s="62">
        <f t="shared" si="3"/>
      </c>
      <c r="I17" s="55"/>
      <c r="J17" s="55"/>
      <c r="K17" s="66"/>
      <c r="L17" s="4" t="str">
        <f>IF($F$5="M","","Concrete Placement:  4.5 inches")</f>
        <v>Concrete Placement:  4.5 inches</v>
      </c>
      <c r="M17" s="5">
        <f>IF($F$5="M",0.46,0.39)</f>
        <v>0.39</v>
      </c>
      <c r="O17" s="50"/>
      <c r="P17" s="67"/>
    </row>
    <row r="18" spans="1:16" ht="22.5" customHeight="1">
      <c r="A18" s="26"/>
      <c r="B18" s="31"/>
      <c r="C18" s="61">
        <f t="shared" si="1"/>
      </c>
      <c r="D18" s="16"/>
      <c r="E18" s="29">
        <f t="shared" si="2"/>
      </c>
      <c r="F18" s="30">
        <f t="shared" si="0"/>
      </c>
      <c r="G18" s="62">
        <f t="shared" si="4"/>
      </c>
      <c r="H18" s="62">
        <f t="shared" si="3"/>
      </c>
      <c r="I18" s="55"/>
      <c r="J18" s="55"/>
      <c r="K18" s="4"/>
      <c r="L18" s="4" t="str">
        <f>IF($F$5="M","Concrete Placement:  140mm","Concrete Placement:  5 inches")</f>
        <v>Concrete Placement:  5 inches</v>
      </c>
      <c r="M18" s="5">
        <f>IF($F$5="M",0.5,0.42)</f>
        <v>0.42</v>
      </c>
      <c r="O18" s="50"/>
      <c r="P18" s="5"/>
    </row>
    <row r="19" spans="1:16" ht="22.5" customHeight="1">
      <c r="A19" s="26"/>
      <c r="B19" s="31"/>
      <c r="C19" s="61">
        <f t="shared" si="1"/>
      </c>
      <c r="D19" s="16"/>
      <c r="E19" s="29">
        <f t="shared" si="2"/>
      </c>
      <c r="F19" s="30">
        <f t="shared" si="0"/>
      </c>
      <c r="G19" s="62">
        <f t="shared" si="4"/>
      </c>
      <c r="H19" s="62">
        <f t="shared" si="3"/>
      </c>
      <c r="I19" s="55"/>
      <c r="J19" s="55"/>
      <c r="K19" s="66"/>
      <c r="L19" s="4" t="str">
        <f>IF($F$5="M","","Concrete Placement:  5.5 inches")</f>
        <v>Concrete Placement:  5.5 inches</v>
      </c>
      <c r="M19" s="5">
        <f>IF($F$5="M",0.53,0.45)</f>
        <v>0.45</v>
      </c>
      <c r="O19" s="50"/>
      <c r="P19" s="67"/>
    </row>
    <row r="20" spans="1:16" ht="21" customHeight="1">
      <c r="A20" s="26"/>
      <c r="B20" s="31"/>
      <c r="C20" s="61">
        <f t="shared" si="1"/>
      </c>
      <c r="D20" s="16"/>
      <c r="E20" s="29">
        <f t="shared" si="2"/>
      </c>
      <c r="F20" s="30">
        <f t="shared" si="0"/>
      </c>
      <c r="G20" s="62">
        <f t="shared" si="4"/>
      </c>
      <c r="H20" s="62">
        <f t="shared" si="3"/>
      </c>
      <c r="I20" s="55"/>
      <c r="J20" s="55"/>
      <c r="K20" s="4"/>
      <c r="L20" s="4" t="str">
        <f>IF($F$5="M","Concrete Placement:  160mm","Concrete Placement:  6 inches")</f>
        <v>Concrete Placement:  6 inches</v>
      </c>
      <c r="M20" s="5">
        <f>IF($F$5="M",0.57,0.48)</f>
        <v>0.48</v>
      </c>
      <c r="O20" s="50"/>
      <c r="P20" s="5"/>
    </row>
    <row r="21" spans="1:16" ht="21" customHeight="1">
      <c r="A21" s="26"/>
      <c r="B21" s="31"/>
      <c r="C21" s="61">
        <f t="shared" si="1"/>
      </c>
      <c r="D21" s="16"/>
      <c r="E21" s="29">
        <f t="shared" si="2"/>
      </c>
      <c r="F21" s="30">
        <f t="shared" si="0"/>
      </c>
      <c r="G21" s="62">
        <f t="shared" si="4"/>
      </c>
      <c r="H21" s="62">
        <f t="shared" si="3"/>
      </c>
      <c r="I21" s="55"/>
      <c r="J21" s="55"/>
      <c r="K21" s="66"/>
      <c r="L21" s="4" t="str">
        <f>IF($F$5="M","Bonded Concrete Pavement (75mm)","Bonded Concrete Pavement (3 inches)")</f>
        <v>Bonded Concrete Pavement (3 inches)</v>
      </c>
      <c r="M21" s="5">
        <f>IF($F$5="M",0.36,0.3)</f>
        <v>0.3</v>
      </c>
      <c r="O21" s="50"/>
      <c r="P21" s="67"/>
    </row>
    <row r="22" spans="1:16" ht="21" customHeight="1">
      <c r="A22" s="26"/>
      <c r="B22" s="31"/>
      <c r="C22" s="61">
        <f t="shared" si="1"/>
      </c>
      <c r="D22" s="16"/>
      <c r="E22" s="29">
        <f t="shared" si="2"/>
      </c>
      <c r="F22" s="30">
        <f t="shared" si="0"/>
      </c>
      <c r="G22" s="62">
        <f t="shared" si="4"/>
      </c>
      <c r="H22" s="62">
        <f t="shared" si="3"/>
      </c>
      <c r="I22" s="55"/>
      <c r="J22" s="55"/>
      <c r="K22" s="4"/>
      <c r="L22" s="4" t="str">
        <f>IF($F$5="M","","Bonded Concrete Pavement (3.5 inches)")</f>
        <v>Bonded Concrete Pavement (3.5 inches)</v>
      </c>
      <c r="M22" s="5">
        <f>IF($F$5="M",0.39,0.33)</f>
        <v>0.33</v>
      </c>
      <c r="O22" s="50"/>
      <c r="P22" s="5"/>
    </row>
    <row r="23" spans="1:16" ht="22.5" customHeight="1">
      <c r="A23" s="26"/>
      <c r="B23" s="31"/>
      <c r="C23" s="61">
        <f t="shared" si="1"/>
      </c>
      <c r="D23" s="16"/>
      <c r="E23" s="29">
        <f t="shared" si="2"/>
      </c>
      <c r="F23" s="30">
        <f t="shared" si="0"/>
      </c>
      <c r="G23" s="62">
        <f t="shared" si="4"/>
      </c>
      <c r="H23" s="62">
        <f t="shared" si="3"/>
      </c>
      <c r="I23" s="55"/>
      <c r="J23" s="55"/>
      <c r="K23" s="66"/>
      <c r="L23" s="4" t="str">
        <f>IF($F$5="M","Bonded Concrete Pavement (100mm)","Bonded Concrete Pavement (4 inches)")</f>
        <v>Bonded Concrete Pavement (4 inches)</v>
      </c>
      <c r="M23" s="5">
        <f>IF($F$5="M",0.43,0.36)</f>
        <v>0.36</v>
      </c>
      <c r="O23" s="50"/>
      <c r="P23" s="67"/>
    </row>
    <row r="24" spans="1:16" ht="22.5" customHeight="1">
      <c r="A24" s="26"/>
      <c r="B24" s="31"/>
      <c r="C24" s="61">
        <f t="shared" si="1"/>
      </c>
      <c r="D24" s="16"/>
      <c r="E24" s="29">
        <f t="shared" si="2"/>
      </c>
      <c r="F24" s="30">
        <f t="shared" si="0"/>
      </c>
      <c r="G24" s="62">
        <f t="shared" si="4"/>
      </c>
      <c r="H24" s="62">
        <f t="shared" si="3"/>
      </c>
      <c r="I24" s="55"/>
      <c r="J24" s="55"/>
      <c r="K24" s="4"/>
      <c r="L24" s="4" t="str">
        <f>IF($F$5="M","","Bonded Concrete Pavement (4.5 inches)")</f>
        <v>Bonded Concrete Pavement (4.5 inches)</v>
      </c>
      <c r="M24" s="5">
        <f>IF($F$5="M",0.46,0.39)</f>
        <v>0.39</v>
      </c>
      <c r="O24" s="50"/>
      <c r="P24" s="5"/>
    </row>
    <row r="25" spans="1:16" ht="22.5" customHeight="1">
      <c r="A25" s="26"/>
      <c r="B25" s="31"/>
      <c r="C25" s="61">
        <f t="shared" si="1"/>
      </c>
      <c r="D25" s="16"/>
      <c r="E25" s="29">
        <f t="shared" si="2"/>
      </c>
      <c r="F25" s="30">
        <f t="shared" si="0"/>
      </c>
      <c r="G25" s="62">
        <f t="shared" si="4"/>
      </c>
      <c r="H25" s="62">
        <f t="shared" si="3"/>
      </c>
      <c r="I25" s="55"/>
      <c r="J25" s="55"/>
      <c r="K25" s="66"/>
      <c r="L25" s="4" t="str">
        <f>IF($F$5="M","Bonded Concrete Pavement (140mm)","Bonded Concrete Pavement (5 inches)")</f>
        <v>Bonded Concrete Pavement (5 inches)</v>
      </c>
      <c r="M25" s="5">
        <f>IF($F$5="M",0.5,0.42)</f>
        <v>0.42</v>
      </c>
      <c r="O25" s="50"/>
      <c r="P25" s="67"/>
    </row>
    <row r="26" spans="1:16" ht="22.5" customHeight="1">
      <c r="A26" s="26"/>
      <c r="B26" s="31"/>
      <c r="C26" s="61">
        <f t="shared" si="1"/>
      </c>
      <c r="D26" s="16"/>
      <c r="E26" s="29">
        <f t="shared" si="2"/>
      </c>
      <c r="F26" s="30">
        <f t="shared" si="0"/>
      </c>
      <c r="G26" s="62">
        <f t="shared" si="4"/>
      </c>
      <c r="H26" s="62">
        <f t="shared" si="3"/>
      </c>
      <c r="I26" s="55"/>
      <c r="J26" s="55"/>
      <c r="K26" s="4"/>
      <c r="L26" s="4" t="str">
        <f>IF($F$5="M","","Bonded Concrete Pavement (5.5 inches)")</f>
        <v>Bonded Concrete Pavement (5.5 inches)</v>
      </c>
      <c r="M26" s="5">
        <f>IF($F$5="M",0.53,0.45)</f>
        <v>0.45</v>
      </c>
      <c r="O26" s="50"/>
      <c r="P26" s="5"/>
    </row>
    <row r="27" spans="1:16" ht="22.5" customHeight="1">
      <c r="A27" s="26"/>
      <c r="B27" s="31"/>
      <c r="C27" s="61">
        <f t="shared" si="1"/>
      </c>
      <c r="D27" s="16"/>
      <c r="E27" s="29">
        <f t="shared" si="2"/>
      </c>
      <c r="F27" s="30">
        <f t="shared" si="0"/>
      </c>
      <c r="G27" s="62">
        <f t="shared" si="4"/>
      </c>
      <c r="H27" s="62">
        <f t="shared" si="3"/>
      </c>
      <c r="I27" s="55"/>
      <c r="J27" s="55"/>
      <c r="K27" s="66"/>
      <c r="L27" s="4" t="str">
        <f>IF($F$5="M","Bonded Concrete Pavement (160mm)","Bonded Concrete Pavement (6 inches)")</f>
        <v>Bonded Concrete Pavement (6 inches)</v>
      </c>
      <c r="M27" s="5">
        <f>IF($F$5="M",0.57,0.48)</f>
        <v>0.48</v>
      </c>
      <c r="O27" s="50"/>
      <c r="P27" s="67"/>
    </row>
    <row r="28" spans="1:16" ht="22.5" customHeight="1">
      <c r="A28" s="26"/>
      <c r="B28" s="31"/>
      <c r="C28" s="61">
        <f t="shared" si="1"/>
      </c>
      <c r="D28" s="16"/>
      <c r="E28" s="29">
        <f t="shared" si="2"/>
      </c>
      <c r="F28" s="30">
        <f t="shared" si="0"/>
      </c>
      <c r="G28" s="62">
        <f t="shared" si="4"/>
      </c>
      <c r="H28" s="62">
        <f t="shared" si="3"/>
      </c>
      <c r="I28" s="55"/>
      <c r="J28" s="55"/>
      <c r="K28" s="4"/>
      <c r="L28" s="4" t="str">
        <f>IF($F$5="M","Concrete Pavement 160 mm","Concrete Pavement 6 inches")</f>
        <v>Concrete Pavement 6 inches</v>
      </c>
      <c r="M28" s="5">
        <f>IF($F$5="M",0.58,0.48)</f>
        <v>0.48</v>
      </c>
      <c r="O28" s="50"/>
      <c r="P28" s="5"/>
    </row>
    <row r="29" spans="1:16" ht="22.5" customHeight="1">
      <c r="A29" s="26"/>
      <c r="B29" s="31"/>
      <c r="C29" s="61">
        <f t="shared" si="1"/>
      </c>
      <c r="D29" s="16"/>
      <c r="E29" s="29">
        <f t="shared" si="2"/>
      </c>
      <c r="F29" s="30">
        <f t="shared" si="0"/>
      </c>
      <c r="G29" s="62">
        <f t="shared" si="4"/>
      </c>
      <c r="H29" s="62">
        <f t="shared" si="3"/>
      </c>
      <c r="I29" s="55"/>
      <c r="J29" s="55"/>
      <c r="K29" s="4"/>
      <c r="L29" s="4" t="str">
        <f>IF($F$5="M","","Concrete Pavement 6.5 inches")</f>
        <v>Concrete Pavement 6.5 inches</v>
      </c>
      <c r="M29" s="5">
        <f>IF($F$5="M",0.61,0.51)</f>
        <v>0.51</v>
      </c>
      <c r="O29" s="50"/>
      <c r="P29" s="5"/>
    </row>
    <row r="30" spans="1:16" ht="22.5" customHeight="1">
      <c r="A30" s="26"/>
      <c r="B30" s="31"/>
      <c r="C30" s="61">
        <f t="shared" si="1"/>
      </c>
      <c r="D30" s="16"/>
      <c r="E30" s="29">
        <f t="shared" si="2"/>
      </c>
      <c r="F30" s="30">
        <f t="shared" si="0"/>
      </c>
      <c r="G30" s="62">
        <f t="shared" si="4"/>
      </c>
      <c r="H30" s="62">
        <f t="shared" si="3"/>
      </c>
      <c r="I30" s="55"/>
      <c r="J30" s="55"/>
      <c r="K30" s="4"/>
      <c r="L30" s="4" t="str">
        <f>IF($F$5="M","Concrete Pavement 180 mm","Concrete Pavement 7 inches")</f>
        <v>Concrete Pavement 7 inches</v>
      </c>
      <c r="M30" s="5">
        <f>IF($F$5="M",0.65,0.54)</f>
        <v>0.54</v>
      </c>
      <c r="O30" s="50"/>
      <c r="P30" s="5"/>
    </row>
    <row r="31" spans="1:16" ht="22.5" customHeight="1">
      <c r="A31" s="26"/>
      <c r="B31" s="31"/>
      <c r="C31" s="61">
        <f t="shared" si="1"/>
      </c>
      <c r="D31" s="16"/>
      <c r="E31" s="29">
        <f t="shared" si="2"/>
      </c>
      <c r="F31" s="30">
        <f t="shared" si="0"/>
      </c>
      <c r="G31" s="62">
        <f t="shared" si="4"/>
      </c>
      <c r="H31" s="62">
        <f t="shared" si="3"/>
      </c>
      <c r="I31" s="55"/>
      <c r="J31" s="55"/>
      <c r="K31" s="4"/>
      <c r="L31" s="4" t="str">
        <f>IF($F$5="M","Concrete Pavement 190 mm","Concrete Pavement 7.5 inches")</f>
        <v>Concrete Pavement 7.5 inches</v>
      </c>
      <c r="M31" s="5">
        <f>IF($F$5="M",0.69,0.57)</f>
        <v>0.57</v>
      </c>
      <c r="O31" s="50"/>
      <c r="P31" s="5"/>
    </row>
    <row r="32" spans="1:16" ht="22.5" customHeight="1">
      <c r="A32" s="26"/>
      <c r="B32" s="31"/>
      <c r="C32" s="61">
        <f t="shared" si="1"/>
      </c>
      <c r="D32" s="16"/>
      <c r="E32" s="29">
        <f t="shared" si="2"/>
      </c>
      <c r="F32" s="30">
        <f t="shared" si="0"/>
      </c>
      <c r="G32" s="62">
        <f t="shared" si="4"/>
      </c>
      <c r="H32" s="62">
        <f t="shared" si="3"/>
      </c>
      <c r="I32" s="55"/>
      <c r="J32" s="55"/>
      <c r="K32" s="4"/>
      <c r="L32" s="4" t="str">
        <f>IF($F$5="M","Concrete Pavement 200 mm","Concrete Pavement 8 inches")</f>
        <v>Concrete Pavement 8 inches</v>
      </c>
      <c r="M32" s="5">
        <f>IF($F$5="M",0.72,0.6)</f>
        <v>0.6</v>
      </c>
      <c r="O32" s="50"/>
      <c r="P32" s="5"/>
    </row>
    <row r="33" spans="1:16" ht="22.5" customHeight="1">
      <c r="A33" s="26"/>
      <c r="B33" s="31"/>
      <c r="C33" s="61">
        <f t="shared" si="1"/>
      </c>
      <c r="D33" s="16"/>
      <c r="E33" s="29">
        <f t="shared" si="2"/>
      </c>
      <c r="F33" s="30">
        <f t="shared" si="0"/>
      </c>
      <c r="G33" s="62">
        <f t="shared" si="4"/>
      </c>
      <c r="H33" s="62">
        <f t="shared" si="3"/>
      </c>
      <c r="I33" s="55"/>
      <c r="J33" s="55"/>
      <c r="K33" s="6"/>
      <c r="L33" s="4" t="str">
        <f>IF($F$5="M","Concrete Pavement 220 mm","Concrete Pavement 8 1/2 inches")</f>
        <v>Concrete Pavement 8 1/2 inches</v>
      </c>
      <c r="M33" s="5">
        <f>IF($F$5="M",0.76,0.63)</f>
        <v>0.63</v>
      </c>
      <c r="N33" s="6"/>
      <c r="O33" s="50"/>
      <c r="P33" s="50"/>
    </row>
    <row r="34" spans="1:16" ht="22.5" customHeight="1">
      <c r="A34" s="26"/>
      <c r="B34" s="31"/>
      <c r="C34" s="61">
        <f t="shared" si="1"/>
      </c>
      <c r="D34" s="16"/>
      <c r="E34" s="29">
        <f t="shared" si="2"/>
      </c>
      <c r="F34" s="30">
        <f t="shared" si="0"/>
      </c>
      <c r="G34" s="62">
        <f t="shared" si="4"/>
      </c>
      <c r="H34" s="62">
        <f t="shared" si="3"/>
      </c>
      <c r="I34" s="55"/>
      <c r="J34" s="55"/>
      <c r="K34" s="7"/>
      <c r="L34" s="4" t="str">
        <f>IF($F$5="M","Concrete Pavement 230 mm","Concrete Pavement 9 inches")</f>
        <v>Concrete Pavement 9 inches</v>
      </c>
      <c r="M34" s="5">
        <f>IF($F$5="M",0.79,0.66)</f>
        <v>0.66</v>
      </c>
      <c r="N34" s="6"/>
      <c r="O34" s="50"/>
      <c r="P34" s="50"/>
    </row>
    <row r="35" spans="1:16" ht="22.5" customHeight="1">
      <c r="A35" s="26"/>
      <c r="B35" s="31"/>
      <c r="C35" s="61">
        <f t="shared" si="1"/>
      </c>
      <c r="D35" s="16"/>
      <c r="E35" s="29">
        <f t="shared" si="2"/>
      </c>
      <c r="F35" s="30">
        <f t="shared" si="0"/>
      </c>
      <c r="G35" s="62">
        <f t="shared" si="4"/>
      </c>
      <c r="H35" s="62">
        <f t="shared" si="3"/>
      </c>
      <c r="I35" s="55"/>
      <c r="J35" s="55"/>
      <c r="K35" s="7"/>
      <c r="L35" s="4" t="str">
        <f>IF($F$5="M","Concrete Pavement 240 mm","Concrete Pavement 9 1/2 inches")</f>
        <v>Concrete Pavement 9 1/2 inches</v>
      </c>
      <c r="M35" s="5">
        <f>IF($F$5="M",0.82,0.69)</f>
        <v>0.69</v>
      </c>
      <c r="N35" s="6"/>
      <c r="O35" s="50"/>
      <c r="P35" s="50"/>
    </row>
    <row r="36" spans="1:16" ht="22.5" customHeight="1">
      <c r="A36" s="26"/>
      <c r="B36" s="31"/>
      <c r="C36" s="61">
        <f t="shared" si="1"/>
      </c>
      <c r="D36" s="16"/>
      <c r="E36" s="29">
        <f t="shared" si="2"/>
      </c>
      <c r="F36" s="30">
        <f t="shared" si="0"/>
      </c>
      <c r="G36" s="62">
        <f t="shared" si="4"/>
      </c>
      <c r="H36" s="62">
        <f t="shared" si="3"/>
      </c>
      <c r="I36" s="55"/>
      <c r="J36" s="55"/>
      <c r="K36" s="7"/>
      <c r="L36" s="4" t="str">
        <f>IF($F$5="M","Concrete Pavement 250 mm","Concrete Pavement 10 inches")</f>
        <v>Concrete Pavement 10 inches</v>
      </c>
      <c r="M36" s="5">
        <f>IF($F$5="M",0.86,0.72)</f>
        <v>0.72</v>
      </c>
      <c r="N36" s="6"/>
      <c r="O36" s="50"/>
      <c r="P36" s="50"/>
    </row>
    <row r="37" spans="1:16" ht="22.5" customHeight="1">
      <c r="A37" s="26"/>
      <c r="B37" s="31"/>
      <c r="C37" s="61">
        <f t="shared" si="1"/>
      </c>
      <c r="D37" s="16"/>
      <c r="E37" s="29">
        <f t="shared" si="2"/>
      </c>
      <c r="F37" s="30">
        <f t="shared" si="0"/>
      </c>
      <c r="G37" s="62">
        <f t="shared" si="4"/>
      </c>
      <c r="H37" s="62">
        <f t="shared" si="3"/>
      </c>
      <c r="I37" s="55"/>
      <c r="J37" s="55"/>
      <c r="K37" s="7"/>
      <c r="L37" s="4">
        <f>IF(F5="M","Concrete Pavement 260 mm","")</f>
      </c>
      <c r="M37" s="5">
        <v>0.86</v>
      </c>
      <c r="N37" s="6"/>
      <c r="O37" s="50"/>
      <c r="P37" s="50"/>
    </row>
    <row r="38" spans="1:16" ht="22.5" customHeight="1">
      <c r="A38" s="26"/>
      <c r="B38" s="31"/>
      <c r="C38" s="61">
        <f t="shared" si="1"/>
      </c>
      <c r="D38" s="16"/>
      <c r="E38" s="29">
        <f t="shared" si="2"/>
      </c>
      <c r="F38" s="30">
        <f t="shared" si="0"/>
      </c>
      <c r="G38" s="62">
        <f t="shared" si="4"/>
      </c>
      <c r="H38" s="62">
        <f t="shared" si="3"/>
      </c>
      <c r="I38" s="55"/>
      <c r="J38" s="55"/>
      <c r="K38" s="7"/>
      <c r="L38" s="4" t="str">
        <f>IF($F$5="M","Concrete Pavement 270 mm","Concrete Pavement 10 1/2 inches")</f>
        <v>Concrete Pavement 10 1/2 inches</v>
      </c>
      <c r="M38" s="5">
        <f>IF($F$5="M",0.89,0.75)</f>
        <v>0.75</v>
      </c>
      <c r="N38" s="6"/>
      <c r="O38" s="50"/>
      <c r="P38" s="50"/>
    </row>
    <row r="39" spans="1:16" ht="22.5" customHeight="1">
      <c r="A39" s="39"/>
      <c r="B39" s="40"/>
      <c r="C39" s="32"/>
      <c r="D39" s="32"/>
      <c r="E39" s="33"/>
      <c r="F39" s="34"/>
      <c r="G39" s="35"/>
      <c r="H39" s="36" t="s">
        <v>66</v>
      </c>
      <c r="I39" s="47"/>
      <c r="J39" s="55"/>
      <c r="K39" s="7"/>
      <c r="L39" s="4" t="str">
        <f>IF($F$5="M","Concrete Pavement 280 mm","Concrete Pavement 11 inches")</f>
        <v>Concrete Pavement 11 inches</v>
      </c>
      <c r="M39" s="5">
        <f>IF($F$5="M",0.93,0.78)</f>
        <v>0.78</v>
      </c>
      <c r="N39" s="6"/>
      <c r="O39" s="50"/>
      <c r="P39" s="50"/>
    </row>
    <row r="40" spans="9:14" ht="12.75">
      <c r="I40" s="41"/>
      <c r="J40" s="41"/>
      <c r="K40" s="7"/>
      <c r="L40" s="4" t="str">
        <f>IF($F$5="M","Concrete Pavement 290 mm","Concrete Pavement 11 1/2 inches")</f>
        <v>Concrete Pavement 11 1/2 inches</v>
      </c>
      <c r="M40" s="5">
        <f>IF($F$5="M",0.96,0.81)</f>
        <v>0.81</v>
      </c>
      <c r="N40" s="6"/>
    </row>
    <row r="41" spans="1:14" ht="12.75">
      <c r="A41" s="42"/>
      <c r="B41" s="43"/>
      <c r="C41" s="44"/>
      <c r="D41" s="44"/>
      <c r="E41" s="45"/>
      <c r="F41" s="46"/>
      <c r="G41" s="47"/>
      <c r="H41" s="47"/>
      <c r="I41" s="47"/>
      <c r="J41" s="47"/>
      <c r="K41" s="7"/>
      <c r="L41" s="4" t="str">
        <f>IF($F$5="M","Concrete Pavement 300 mm","Concrete Pavement 12 inches")</f>
        <v>Concrete Pavement 12 inches</v>
      </c>
      <c r="M41" s="5">
        <f>IF($F$5="M",0.99,0.83)</f>
        <v>0.83</v>
      </c>
      <c r="N41" s="6"/>
    </row>
    <row r="42" spans="1:14" ht="12.75">
      <c r="A42" s="42"/>
      <c r="B42" s="43"/>
      <c r="C42" s="44"/>
      <c r="D42" s="44"/>
      <c r="E42" s="45"/>
      <c r="F42" s="46"/>
      <c r="G42" s="47"/>
      <c r="H42" s="47"/>
      <c r="I42" s="47"/>
      <c r="J42" s="47"/>
      <c r="K42" s="7"/>
      <c r="L42" s="4" t="str">
        <f>IF($F$5="M","Concrete Pavement 320 mm","Concrete Pavement 12 1/2 inches")</f>
        <v>Concrete Pavement 12 1/2 inches</v>
      </c>
      <c r="M42" s="5">
        <f>IF($F$5="M",1.02,0.86)</f>
        <v>0.86</v>
      </c>
      <c r="N42" s="6"/>
    </row>
    <row r="43" spans="1:14" ht="12.75">
      <c r="A43" s="42"/>
      <c r="B43" s="43"/>
      <c r="C43" s="44"/>
      <c r="D43" s="44"/>
      <c r="E43" s="45"/>
      <c r="F43" s="46"/>
      <c r="G43" s="47"/>
      <c r="H43" s="47"/>
      <c r="I43" s="47"/>
      <c r="J43" s="47"/>
      <c r="K43" s="7"/>
      <c r="L43" s="4" t="str">
        <f>IF($F$5="M","Concrete Pavement 330 mm","Concrete Pavement 13 inches")</f>
        <v>Concrete Pavement 13 inches</v>
      </c>
      <c r="M43" s="5">
        <f>IF($F$5="M",1.06,0.89)</f>
        <v>0.89</v>
      </c>
      <c r="N43" s="6"/>
    </row>
    <row r="44" spans="1:14" ht="12.75">
      <c r="A44" s="42"/>
      <c r="B44" s="43"/>
      <c r="C44" s="44"/>
      <c r="D44" s="44"/>
      <c r="E44" s="45"/>
      <c r="F44" s="46"/>
      <c r="G44" s="47"/>
      <c r="H44" s="47"/>
      <c r="I44" s="47"/>
      <c r="J44" s="47"/>
      <c r="K44" s="7"/>
      <c r="L44" s="4" t="str">
        <f>IF($F$5="M","Concrete Pavement 340 mm","Concrete Pavement 13 1/2 inches")</f>
        <v>Concrete Pavement 13 1/2 inches</v>
      </c>
      <c r="M44" s="5">
        <f>IF($F$5="M",1.1,0.92)</f>
        <v>0.92</v>
      </c>
      <c r="N44" s="6"/>
    </row>
    <row r="45" spans="1:14" ht="12.75">
      <c r="A45" s="42"/>
      <c r="B45" s="43"/>
      <c r="C45" s="44"/>
      <c r="D45" s="44"/>
      <c r="E45" s="45"/>
      <c r="F45" s="46"/>
      <c r="G45" s="47"/>
      <c r="H45" s="47"/>
      <c r="I45" s="47"/>
      <c r="J45" s="47"/>
      <c r="K45" s="7"/>
      <c r="L45" s="4" t="str">
        <f>IF($F$5="M","Concrete Pavement 360 mm","Concrete Pavement 14 inches")</f>
        <v>Concrete Pavement 14 inches</v>
      </c>
      <c r="M45" s="5">
        <f>IF($F$5="M",1.14,0.95)</f>
        <v>0.95</v>
      </c>
      <c r="N45" s="6"/>
    </row>
    <row r="46" spans="1:14" ht="12.75">
      <c r="A46" s="48"/>
      <c r="B46" s="48"/>
      <c r="C46" s="48"/>
      <c r="D46" s="48"/>
      <c r="E46" s="49"/>
      <c r="F46" s="48"/>
      <c r="G46" s="48"/>
      <c r="H46" s="48"/>
      <c r="I46" s="48"/>
      <c r="J46" s="48"/>
      <c r="K46" s="7"/>
      <c r="L46" s="4" t="str">
        <f>IF($F$5="M","Concrete Pavement 370 mm","Concrete Pavement 14 1/2 inches")</f>
        <v>Concrete Pavement 14 1/2 inches</v>
      </c>
      <c r="M46" s="5">
        <f>IF($F$5="M",1.17,0.98)</f>
        <v>0.98</v>
      </c>
      <c r="N46" s="6"/>
    </row>
    <row r="47" spans="1:14" ht="12.75">
      <c r="A47" s="50"/>
      <c r="B47" s="50"/>
      <c r="C47" s="50"/>
      <c r="D47" s="50"/>
      <c r="E47" s="51"/>
      <c r="F47" s="50"/>
      <c r="G47" s="50"/>
      <c r="H47" s="50"/>
      <c r="I47" s="50"/>
      <c r="J47" s="50"/>
      <c r="K47" s="7"/>
      <c r="L47" s="4" t="s">
        <v>60</v>
      </c>
      <c r="M47" s="5">
        <f>IF($F$5="M",334.65,10.2)</f>
        <v>10.2</v>
      </c>
      <c r="N47" s="6"/>
    </row>
    <row r="48" spans="1:14" ht="12.75">
      <c r="A48" s="50"/>
      <c r="B48" s="50"/>
      <c r="C48" s="50"/>
      <c r="D48" s="50"/>
      <c r="E48" s="51"/>
      <c r="F48" s="50"/>
      <c r="G48" s="50"/>
      <c r="H48" s="50"/>
      <c r="I48" s="50"/>
      <c r="J48" s="50"/>
      <c r="K48" s="7"/>
      <c r="L48" s="4" t="s">
        <v>59</v>
      </c>
      <c r="M48" s="5">
        <f>IF($F$5="M",2.65,2.4)</f>
        <v>2.4</v>
      </c>
      <c r="N48" s="6"/>
    </row>
    <row r="49" spans="1:14" ht="12.75">
      <c r="A49" s="50"/>
      <c r="B49" s="50"/>
      <c r="C49" s="50"/>
      <c r="D49" s="50"/>
      <c r="E49" s="51"/>
      <c r="F49" s="50"/>
      <c r="G49" s="50"/>
      <c r="H49" s="50"/>
      <c r="I49" s="50"/>
      <c r="J49" s="50"/>
      <c r="K49" s="7"/>
      <c r="L49" s="4" t="s">
        <v>64</v>
      </c>
      <c r="M49" s="5">
        <f>IF($F$5="M",2.65,2.4)</f>
        <v>2.4</v>
      </c>
      <c r="N49" s="6"/>
    </row>
    <row r="50" spans="1:14" ht="12.75">
      <c r="A50" s="50"/>
      <c r="B50" s="50"/>
      <c r="C50" s="50"/>
      <c r="D50" s="50"/>
      <c r="E50" s="51"/>
      <c r="F50" s="50"/>
      <c r="G50" s="50"/>
      <c r="H50" s="50"/>
      <c r="I50" s="50"/>
      <c r="J50" s="50"/>
      <c r="K50" s="7"/>
      <c r="L50" s="4" t="s">
        <v>65</v>
      </c>
      <c r="M50" s="5">
        <f>IF($F$5="M",2.65,2.4)</f>
        <v>2.4</v>
      </c>
      <c r="N50" s="6"/>
    </row>
    <row r="51" spans="11:13" ht="12.75">
      <c r="K51" s="7"/>
      <c r="L51" s="4"/>
      <c r="M51" s="5"/>
    </row>
    <row r="52" spans="11:13" ht="12.75">
      <c r="K52" s="7"/>
      <c r="L52" s="6"/>
      <c r="M52" s="6"/>
    </row>
    <row r="53" spans="11:13" ht="12.75">
      <c r="K53" s="7"/>
      <c r="L53" s="37"/>
      <c r="M53" s="37"/>
    </row>
    <row r="54" spans="11:13" ht="12.75">
      <c r="K54" s="7"/>
      <c r="L54" s="37"/>
      <c r="M54" s="37"/>
    </row>
    <row r="55" spans="12:13" ht="12.75">
      <c r="L55" s="37"/>
      <c r="M55" s="37"/>
    </row>
    <row r="56" spans="12:13" ht="12.75">
      <c r="L56" s="37"/>
      <c r="M56" s="37"/>
    </row>
    <row r="57" spans="12:13" ht="12.75">
      <c r="L57" s="37"/>
      <c r="M57" s="37"/>
    </row>
    <row r="58" spans="12:13" ht="12.75">
      <c r="L58" s="37"/>
      <c r="M58" s="37"/>
    </row>
    <row r="59" spans="12:13" ht="12.75">
      <c r="L59" s="37"/>
      <c r="M59" s="37"/>
    </row>
    <row r="60" spans="12:13" ht="12.75">
      <c r="L60" s="37"/>
      <c r="M60" s="37"/>
    </row>
    <row r="61" spans="12:13" ht="12.75">
      <c r="L61" s="37"/>
      <c r="M61" s="37"/>
    </row>
    <row r="62" spans="12:13" ht="12.75">
      <c r="L62" s="37"/>
      <c r="M62" s="37"/>
    </row>
    <row r="63" spans="12:13" ht="12.75">
      <c r="L63" s="37"/>
      <c r="M63" s="37"/>
    </row>
    <row r="64" spans="12:13" ht="12.75">
      <c r="L64" s="37"/>
      <c r="M64" s="37"/>
    </row>
    <row r="65" spans="12:13" ht="12.75">
      <c r="L65" s="37"/>
      <c r="M65" s="37"/>
    </row>
    <row r="66" spans="12:13" ht="12.75">
      <c r="L66" s="37"/>
      <c r="M66" s="37"/>
    </row>
    <row r="67" spans="12:13" ht="12.75">
      <c r="L67" s="37"/>
      <c r="M67" s="37"/>
    </row>
    <row r="68" spans="12:13" ht="12.75">
      <c r="L68" s="37"/>
      <c r="M68" s="37"/>
    </row>
    <row r="69" spans="12:13" ht="12.75">
      <c r="L69" s="37"/>
      <c r="M69" s="37"/>
    </row>
    <row r="70" ht="12.75">
      <c r="L70" s="37"/>
    </row>
    <row r="71" ht="12.75">
      <c r="L71" s="37"/>
    </row>
    <row r="72" ht="12.75">
      <c r="L72" s="37"/>
    </row>
  </sheetData>
  <sheetProtection password="BF11" sheet="1" objects="1" scenarios="1" selectLockedCells="1"/>
  <mergeCells count="4">
    <mergeCell ref="F3:H3"/>
    <mergeCell ref="F4:H4"/>
    <mergeCell ref="D5:E5"/>
    <mergeCell ref="B6:E6"/>
  </mergeCells>
  <dataValidations count="1">
    <dataValidation type="list" allowBlank="1" showInputMessage="1" showErrorMessage="1" promptTitle="Data Entry Restriction!" prompt="Please select one item from this drop down box. No other values will be accepted." errorTitle="Wrong data!" error="Please enter a value from the drop down list." sqref="B6:E6">
      <formula1>$L$7:$L$50</formula1>
    </dataValidation>
  </dataValidations>
  <printOptions/>
  <pageMargins left="1.06" right="0.5" top="0.5" bottom="0" header="0.5" footer="0"/>
  <pageSetup blackAndWhite="1" fitToHeight="1" fitToWidth="1" horizontalDpi="600" verticalDpi="600" orientation="portrait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"/>
  <sheetViews>
    <sheetView showGridLines="0" showRowColHeaders="0" zoomScalePageLayoutView="0" workbookViewId="0" topLeftCell="A1">
      <selection activeCell="B6" sqref="B6:E6"/>
    </sheetView>
  </sheetViews>
  <sheetFormatPr defaultColWidth="9.140625" defaultRowHeight="12.75"/>
  <cols>
    <col min="1" max="1" width="13.00390625" style="0" customWidth="1"/>
    <col min="2" max="2" width="13.28125" style="0" customWidth="1"/>
    <col min="3" max="3" width="9.00390625" style="0" customWidth="1"/>
    <col min="4" max="4" width="9.28125" style="0" customWidth="1"/>
    <col min="5" max="5" width="11.00390625" style="1" customWidth="1"/>
    <col min="6" max="6" width="10.57421875" style="0" customWidth="1"/>
    <col min="7" max="8" width="16.00390625" style="0" bestFit="1" customWidth="1"/>
    <col min="11" max="11" width="3.57421875" style="0" customWidth="1"/>
    <col min="12" max="12" width="47.00390625" style="0" hidden="1" customWidth="1"/>
    <col min="13" max="13" width="8.28125" style="0" hidden="1" customWidth="1"/>
    <col min="14" max="14" width="7.140625" style="0" customWidth="1"/>
    <col min="15" max="16" width="9.140625" style="0" customWidth="1"/>
  </cols>
  <sheetData>
    <row r="1" spans="1:16" ht="15">
      <c r="A1" s="8"/>
      <c r="B1" s="8"/>
      <c r="C1" s="9" t="s">
        <v>67</v>
      </c>
      <c r="D1" s="8"/>
      <c r="E1" s="10"/>
      <c r="F1" s="8"/>
      <c r="G1" s="8"/>
      <c r="H1" s="8"/>
      <c r="I1" s="52"/>
      <c r="J1" s="52"/>
      <c r="K1" s="50"/>
      <c r="L1" s="50"/>
      <c r="M1" s="50"/>
      <c r="N1" s="50"/>
      <c r="O1" s="50"/>
      <c r="P1" s="50"/>
    </row>
    <row r="2" spans="1:16" ht="17.25" customHeight="1">
      <c r="A2" s="8"/>
      <c r="B2" s="8"/>
      <c r="C2" s="8"/>
      <c r="D2" s="8"/>
      <c r="E2" s="10"/>
      <c r="F2" s="8"/>
      <c r="G2" s="8"/>
      <c r="H2" s="8"/>
      <c r="I2" s="52"/>
      <c r="J2" s="52"/>
      <c r="K2" s="50"/>
      <c r="L2" s="50"/>
      <c r="M2" s="50"/>
      <c r="N2" s="50"/>
      <c r="O2" s="50"/>
      <c r="P2" s="50"/>
    </row>
    <row r="3" spans="1:16" ht="21" customHeight="1">
      <c r="A3" s="11"/>
      <c r="B3" s="12"/>
      <c r="C3" s="11"/>
      <c r="D3" s="11"/>
      <c r="E3" s="63" t="s">
        <v>42</v>
      </c>
      <c r="F3" s="97">
        <f>IF('Item 1'!F3:H3="","",'Item 1'!F3:H3)</f>
      </c>
      <c r="G3" s="97"/>
      <c r="H3" s="97"/>
      <c r="I3" s="53"/>
      <c r="J3" s="53"/>
      <c r="K3" s="50"/>
      <c r="L3" s="50"/>
      <c r="M3" s="50"/>
      <c r="N3" s="50"/>
      <c r="O3" s="50"/>
      <c r="P3" s="50"/>
    </row>
    <row r="4" spans="1:16" ht="21" customHeight="1">
      <c r="A4" s="13" t="s">
        <v>43</v>
      </c>
      <c r="B4" s="82">
        <f>IF('Item 1'!B4="","",'Item 1'!B4)</f>
      </c>
      <c r="C4" s="38"/>
      <c r="D4" s="11"/>
      <c r="E4" s="64" t="s">
        <v>41</v>
      </c>
      <c r="F4" s="98">
        <f>IF('Item 1'!F4:H4="","",'Item 1'!F4:H4)</f>
      </c>
      <c r="G4" s="99"/>
      <c r="H4" s="100"/>
      <c r="I4" s="53"/>
      <c r="J4" s="53"/>
      <c r="K4" s="50"/>
      <c r="L4" s="57"/>
      <c r="M4" s="50"/>
      <c r="N4" s="50"/>
      <c r="O4" s="50"/>
      <c r="P4" s="50"/>
    </row>
    <row r="5" spans="1:16" ht="21" customHeight="1">
      <c r="A5" s="79" t="s">
        <v>44</v>
      </c>
      <c r="B5" s="15"/>
      <c r="C5" s="81">
        <f>IF('Item 1'!C5="","",'Item 1'!C5)</f>
      </c>
      <c r="D5" s="95" t="s">
        <v>46</v>
      </c>
      <c r="E5" s="96"/>
      <c r="F5" s="80">
        <f>IF('Item 1'!F5="","",'Item 1'!F5)</f>
      </c>
      <c r="G5" s="65" t="s">
        <v>45</v>
      </c>
      <c r="H5" s="60">
        <f>IF(B6="","",VLOOKUP(B6,L7:M50,2,FALSE))</f>
      </c>
      <c r="I5" s="53"/>
      <c r="J5" s="53"/>
      <c r="K5" s="4"/>
      <c r="L5" s="56"/>
      <c r="N5" s="4"/>
      <c r="O5" s="50"/>
      <c r="P5" s="50"/>
    </row>
    <row r="6" spans="1:16" ht="21" customHeight="1">
      <c r="A6" s="79" t="s">
        <v>20</v>
      </c>
      <c r="B6" s="88"/>
      <c r="C6" s="89"/>
      <c r="D6" s="89"/>
      <c r="E6" s="90"/>
      <c r="F6" s="58"/>
      <c r="H6" s="59"/>
      <c r="I6" s="53"/>
      <c r="J6" s="53"/>
      <c r="K6" s="4"/>
      <c r="L6" s="4" t="s">
        <v>21</v>
      </c>
      <c r="M6" s="4" t="s">
        <v>37</v>
      </c>
      <c r="O6" s="50"/>
      <c r="P6" s="4"/>
    </row>
    <row r="7" spans="1:16" ht="12.75">
      <c r="A7" s="11"/>
      <c r="B7" s="11"/>
      <c r="C7" s="17"/>
      <c r="D7" s="11"/>
      <c r="E7" s="7"/>
      <c r="F7" s="11"/>
      <c r="G7" s="11"/>
      <c r="H7" s="11"/>
      <c r="I7" s="53"/>
      <c r="J7" s="53"/>
      <c r="K7" s="4"/>
      <c r="L7" s="4" t="s">
        <v>22</v>
      </c>
      <c r="M7" s="5">
        <f>IF($F$5="M",0.33,0.25)</f>
        <v>0.25</v>
      </c>
      <c r="O7" s="50"/>
      <c r="P7" s="5"/>
    </row>
    <row r="8" spans="1:16" ht="12.75">
      <c r="A8" s="18" t="s">
        <v>0</v>
      </c>
      <c r="B8" s="18" t="s">
        <v>18</v>
      </c>
      <c r="C8" s="19" t="s">
        <v>2</v>
      </c>
      <c r="D8" s="18" t="s">
        <v>5</v>
      </c>
      <c r="E8" s="20" t="s">
        <v>8</v>
      </c>
      <c r="F8" s="18" t="s">
        <v>10</v>
      </c>
      <c r="G8" s="18" t="s">
        <v>13</v>
      </c>
      <c r="H8" s="18" t="s">
        <v>8</v>
      </c>
      <c r="I8" s="54"/>
      <c r="J8" s="54"/>
      <c r="K8" s="4"/>
      <c r="L8" s="4" t="s">
        <v>61</v>
      </c>
      <c r="M8" s="5">
        <f>IF($F$5="M",0.33,0.25)</f>
        <v>0.25</v>
      </c>
      <c r="O8" s="50"/>
      <c r="P8" s="5"/>
    </row>
    <row r="9" spans="1:16" ht="12.75">
      <c r="A9" s="21"/>
      <c r="B9" s="22" t="s">
        <v>16</v>
      </c>
      <c r="C9" s="22" t="s">
        <v>3</v>
      </c>
      <c r="D9" s="22" t="s">
        <v>6</v>
      </c>
      <c r="E9" s="23"/>
      <c r="F9" s="22" t="s">
        <v>11</v>
      </c>
      <c r="G9" s="22" t="s">
        <v>14</v>
      </c>
      <c r="H9" s="22" t="s">
        <v>9</v>
      </c>
      <c r="I9" s="54"/>
      <c r="J9" s="54"/>
      <c r="K9" s="4"/>
      <c r="L9" s="4" t="s">
        <v>19</v>
      </c>
      <c r="M9" s="5">
        <f>IF($F$5="M",0.43,0.33)</f>
        <v>0.33</v>
      </c>
      <c r="O9" s="50"/>
      <c r="P9" s="5"/>
    </row>
    <row r="10" spans="1:16" ht="12.75">
      <c r="A10" s="24" t="s">
        <v>1</v>
      </c>
      <c r="B10" s="24" t="s">
        <v>17</v>
      </c>
      <c r="C10" s="24" t="s">
        <v>4</v>
      </c>
      <c r="D10" s="24" t="s">
        <v>7</v>
      </c>
      <c r="E10" s="25" t="s">
        <v>9</v>
      </c>
      <c r="F10" s="24" t="s">
        <v>12</v>
      </c>
      <c r="G10" s="24" t="s">
        <v>15</v>
      </c>
      <c r="H10" s="24" t="s">
        <v>15</v>
      </c>
      <c r="I10" s="54"/>
      <c r="J10" s="54"/>
      <c r="K10" s="4"/>
      <c r="L10" s="4" t="s">
        <v>62</v>
      </c>
      <c r="M10" s="5">
        <f>IF($F$5="M",0.43,0.33)</f>
        <v>0.33</v>
      </c>
      <c r="O10" s="50"/>
      <c r="P10" s="5"/>
    </row>
    <row r="11" spans="1:16" ht="22.5" customHeight="1">
      <c r="A11" s="26"/>
      <c r="B11" s="27"/>
      <c r="C11" s="61">
        <f>IF(H5="","",ABS($H$5))</f>
      </c>
      <c r="D11" s="28"/>
      <c r="E11" s="29">
        <f>IF(D11="","",+D11)</f>
      </c>
      <c r="F11" s="30">
        <f>+IF(B11="","",(B11-$C$5))</f>
      </c>
      <c r="G11" s="62">
        <f>IF(C11="","",IF(F11="","",+C11*D11*F11))</f>
      </c>
      <c r="H11" s="62">
        <f>+G11</f>
      </c>
      <c r="I11" s="54"/>
      <c r="J11" s="54"/>
      <c r="K11" s="4"/>
      <c r="L11" s="4" t="s">
        <v>24</v>
      </c>
      <c r="M11" s="5">
        <f>IF($F$5="M",0.38,0.29)</f>
        <v>0.29</v>
      </c>
      <c r="O11" s="50"/>
      <c r="P11" s="5"/>
    </row>
    <row r="12" spans="1:16" ht="22.5" customHeight="1">
      <c r="A12" s="26"/>
      <c r="B12" s="31"/>
      <c r="C12" s="61">
        <f>IF(B12="","",ABS($H$5))</f>
      </c>
      <c r="D12" s="16"/>
      <c r="E12" s="29">
        <f>IF(D12="","",+D12+E11)</f>
      </c>
      <c r="F12" s="30">
        <f aca="true" t="shared" si="0" ref="F12:F38">+IF(B12="","",(B12-$C$5))</f>
      </c>
      <c r="G12" s="62">
        <f>IF(C12="","",IF(F12="","",+C12*D12*F12))</f>
      </c>
      <c r="H12" s="62">
        <f>IF(G12="","",+H11+G12)</f>
      </c>
      <c r="I12" s="55"/>
      <c r="J12" s="55"/>
      <c r="K12" s="4"/>
      <c r="L12" s="4" t="s">
        <v>25</v>
      </c>
      <c r="M12" s="5">
        <f>IF($F$5="M",0.39,0.3)</f>
        <v>0.3</v>
      </c>
      <c r="O12" s="50"/>
      <c r="P12" s="5"/>
    </row>
    <row r="13" spans="1:16" ht="22.5" customHeight="1">
      <c r="A13" s="26"/>
      <c r="B13" s="31"/>
      <c r="C13" s="61">
        <f aca="true" t="shared" si="1" ref="C13:C38">IF(B13="","",ABS($H$5))</f>
      </c>
      <c r="D13" s="16"/>
      <c r="E13" s="29">
        <f aca="true" t="shared" si="2" ref="E13:E38">IF(D13="","",+D13+E12)</f>
      </c>
      <c r="F13" s="30">
        <f t="shared" si="0"/>
      </c>
      <c r="G13" s="62">
        <f>IF(C13="","",IF(F13="","",+C13*D13*F13))</f>
      </c>
      <c r="H13" s="62">
        <f aca="true" t="shared" si="3" ref="H13:H38">IF(G13="","",+H12+G13)</f>
      </c>
      <c r="I13" s="55"/>
      <c r="J13" s="55"/>
      <c r="K13" s="4"/>
      <c r="L13" s="4" t="s">
        <v>63</v>
      </c>
      <c r="M13" s="5">
        <f>IF($F$5="M",0.36,0.3)</f>
        <v>0.3</v>
      </c>
      <c r="O13" s="50"/>
      <c r="P13" s="5"/>
    </row>
    <row r="14" spans="1:16" ht="22.5" customHeight="1">
      <c r="A14" s="26"/>
      <c r="B14" s="31"/>
      <c r="C14" s="61">
        <f t="shared" si="1"/>
      </c>
      <c r="D14" s="16"/>
      <c r="E14" s="29">
        <f t="shared" si="2"/>
      </c>
      <c r="F14" s="30">
        <f t="shared" si="0"/>
      </c>
      <c r="G14" s="62">
        <f>IF(C14="","",IF(F14="","",+C14*D14*F14))</f>
      </c>
      <c r="H14" s="62">
        <f t="shared" si="3"/>
      </c>
      <c r="I14" s="55"/>
      <c r="J14" s="55"/>
      <c r="K14" s="66"/>
      <c r="L14" s="4" t="str">
        <f>IF($F$5="M","Concrete Placement:  75mm","Concrete Placement:  3 inches")</f>
        <v>Concrete Placement:  3 inches</v>
      </c>
      <c r="M14" s="5">
        <f>IF($F$5="M",0.36,0.3)</f>
        <v>0.3</v>
      </c>
      <c r="O14" s="50"/>
      <c r="P14" s="67"/>
    </row>
    <row r="15" spans="1:16" ht="22.5" customHeight="1">
      <c r="A15" s="26"/>
      <c r="B15" s="31"/>
      <c r="C15" s="61">
        <f t="shared" si="1"/>
      </c>
      <c r="D15" s="16"/>
      <c r="E15" s="29">
        <f t="shared" si="2"/>
      </c>
      <c r="F15" s="30">
        <f t="shared" si="0"/>
      </c>
      <c r="G15" s="62">
        <f>IF(C15="","",IF(F15="","",+C15*D15*F15))</f>
      </c>
      <c r="H15" s="62">
        <f t="shared" si="3"/>
      </c>
      <c r="I15" s="55"/>
      <c r="J15" s="55"/>
      <c r="K15" s="66"/>
      <c r="L15" s="4" t="str">
        <f>IF($F$5="M","","Concrete Placement:  3.5 inches")</f>
        <v>Concrete Placement:  3.5 inches</v>
      </c>
      <c r="M15" s="5">
        <f>IF($F$5="M",0.39,0.33)</f>
        <v>0.33</v>
      </c>
      <c r="O15" s="50"/>
      <c r="P15" s="67"/>
    </row>
    <row r="16" spans="1:16" ht="22.5" customHeight="1">
      <c r="A16" s="26"/>
      <c r="B16" s="31"/>
      <c r="C16" s="61">
        <f t="shared" si="1"/>
      </c>
      <c r="D16" s="16"/>
      <c r="E16" s="29">
        <f t="shared" si="2"/>
      </c>
      <c r="F16" s="30">
        <f t="shared" si="0"/>
      </c>
      <c r="G16" s="62">
        <f aca="true" t="shared" si="4" ref="G16:G38">IF(F16="","",+C16*D16*F16)</f>
      </c>
      <c r="H16" s="62">
        <f t="shared" si="3"/>
      </c>
      <c r="I16" s="55"/>
      <c r="J16" s="55"/>
      <c r="K16" s="4"/>
      <c r="L16" s="4" t="str">
        <f>IF($F$5="M","Concrete Placement:  100mm","Concrete Placement:  4 inches")</f>
        <v>Concrete Placement:  4 inches</v>
      </c>
      <c r="M16" s="5">
        <f>IF($F$5="M",0.43,0.36)</f>
        <v>0.36</v>
      </c>
      <c r="O16" s="50"/>
      <c r="P16" s="5"/>
    </row>
    <row r="17" spans="1:16" ht="22.5" customHeight="1">
      <c r="A17" s="26"/>
      <c r="B17" s="31"/>
      <c r="C17" s="61">
        <f t="shared" si="1"/>
      </c>
      <c r="D17" s="16"/>
      <c r="E17" s="29">
        <f t="shared" si="2"/>
      </c>
      <c r="F17" s="30">
        <f t="shared" si="0"/>
      </c>
      <c r="G17" s="62">
        <f t="shared" si="4"/>
      </c>
      <c r="H17" s="62">
        <f t="shared" si="3"/>
      </c>
      <c r="I17" s="55"/>
      <c r="J17" s="55"/>
      <c r="K17" s="66"/>
      <c r="L17" s="4" t="str">
        <f>IF($F$5="M","","Concrete Placement:  4.5 inches")</f>
        <v>Concrete Placement:  4.5 inches</v>
      </c>
      <c r="M17" s="5">
        <f>IF($F$5="M",0.46,0.39)</f>
        <v>0.39</v>
      </c>
      <c r="O17" s="50"/>
      <c r="P17" s="67"/>
    </row>
    <row r="18" spans="1:16" ht="22.5" customHeight="1">
      <c r="A18" s="26"/>
      <c r="B18" s="31"/>
      <c r="C18" s="61">
        <f t="shared" si="1"/>
      </c>
      <c r="D18" s="16"/>
      <c r="E18" s="29">
        <f t="shared" si="2"/>
      </c>
      <c r="F18" s="30">
        <f t="shared" si="0"/>
      </c>
      <c r="G18" s="62">
        <f t="shared" si="4"/>
      </c>
      <c r="H18" s="62">
        <f t="shared" si="3"/>
      </c>
      <c r="I18" s="55"/>
      <c r="J18" s="55"/>
      <c r="K18" s="4"/>
      <c r="L18" s="4" t="str">
        <f>IF($F$5="M","Concrete Placement:  140mm","Concrete Placement:  5 inches")</f>
        <v>Concrete Placement:  5 inches</v>
      </c>
      <c r="M18" s="5">
        <f>IF($F$5="M",0.5,0.42)</f>
        <v>0.42</v>
      </c>
      <c r="O18" s="50"/>
      <c r="P18" s="5"/>
    </row>
    <row r="19" spans="1:16" ht="22.5" customHeight="1">
      <c r="A19" s="26"/>
      <c r="B19" s="31"/>
      <c r="C19" s="61">
        <f t="shared" si="1"/>
      </c>
      <c r="D19" s="16"/>
      <c r="E19" s="29">
        <f t="shared" si="2"/>
      </c>
      <c r="F19" s="30">
        <f t="shared" si="0"/>
      </c>
      <c r="G19" s="62">
        <f t="shared" si="4"/>
      </c>
      <c r="H19" s="62">
        <f t="shared" si="3"/>
      </c>
      <c r="I19" s="55"/>
      <c r="J19" s="55"/>
      <c r="K19" s="66"/>
      <c r="L19" s="4" t="str">
        <f>IF($F$5="M","","Concrete Placement:  5.5 inches")</f>
        <v>Concrete Placement:  5.5 inches</v>
      </c>
      <c r="M19" s="5">
        <f>IF($F$5="M",0.53,0.45)</f>
        <v>0.45</v>
      </c>
      <c r="O19" s="50"/>
      <c r="P19" s="67"/>
    </row>
    <row r="20" spans="1:16" ht="21" customHeight="1">
      <c r="A20" s="26"/>
      <c r="B20" s="31"/>
      <c r="C20" s="61">
        <f t="shared" si="1"/>
      </c>
      <c r="D20" s="16"/>
      <c r="E20" s="29">
        <f t="shared" si="2"/>
      </c>
      <c r="F20" s="30">
        <f t="shared" si="0"/>
      </c>
      <c r="G20" s="62">
        <f t="shared" si="4"/>
      </c>
      <c r="H20" s="62">
        <f t="shared" si="3"/>
      </c>
      <c r="I20" s="55"/>
      <c r="J20" s="55"/>
      <c r="K20" s="4"/>
      <c r="L20" s="4" t="str">
        <f>IF($F$5="M","Concrete Placement:  160mm","Concrete Placement:  6 inches")</f>
        <v>Concrete Placement:  6 inches</v>
      </c>
      <c r="M20" s="5">
        <f>IF($F$5="M",0.57,0.48)</f>
        <v>0.48</v>
      </c>
      <c r="O20" s="50"/>
      <c r="P20" s="5"/>
    </row>
    <row r="21" spans="1:16" ht="21" customHeight="1">
      <c r="A21" s="26"/>
      <c r="B21" s="31"/>
      <c r="C21" s="61">
        <f t="shared" si="1"/>
      </c>
      <c r="D21" s="16"/>
      <c r="E21" s="29">
        <f t="shared" si="2"/>
      </c>
      <c r="F21" s="30">
        <f t="shared" si="0"/>
      </c>
      <c r="G21" s="62">
        <f t="shared" si="4"/>
      </c>
      <c r="H21" s="62">
        <f t="shared" si="3"/>
      </c>
      <c r="I21" s="55"/>
      <c r="J21" s="55"/>
      <c r="K21" s="66"/>
      <c r="L21" s="4" t="str">
        <f>IF($F$5="M","Bonded Concrete Pavement (75mm)","Bonded Concrete Pavement (3 inches)")</f>
        <v>Bonded Concrete Pavement (3 inches)</v>
      </c>
      <c r="M21" s="5">
        <f>IF($F$5="M",0.36,0.3)</f>
        <v>0.3</v>
      </c>
      <c r="O21" s="50"/>
      <c r="P21" s="67"/>
    </row>
    <row r="22" spans="1:16" ht="21" customHeight="1">
      <c r="A22" s="26"/>
      <c r="B22" s="31"/>
      <c r="C22" s="61">
        <f t="shared" si="1"/>
      </c>
      <c r="D22" s="16"/>
      <c r="E22" s="29">
        <f t="shared" si="2"/>
      </c>
      <c r="F22" s="30">
        <f t="shared" si="0"/>
      </c>
      <c r="G22" s="62">
        <f t="shared" si="4"/>
      </c>
      <c r="H22" s="62">
        <f t="shared" si="3"/>
      </c>
      <c r="I22" s="55"/>
      <c r="J22" s="55"/>
      <c r="K22" s="4"/>
      <c r="L22" s="4" t="str">
        <f>IF($F$5="M","","Bonded Concrete Pavement (3.5 inches)")</f>
        <v>Bonded Concrete Pavement (3.5 inches)</v>
      </c>
      <c r="M22" s="5">
        <f>IF($F$5="M",0.39,0.33)</f>
        <v>0.33</v>
      </c>
      <c r="O22" s="50"/>
      <c r="P22" s="5"/>
    </row>
    <row r="23" spans="1:16" ht="22.5" customHeight="1">
      <c r="A23" s="26"/>
      <c r="B23" s="31"/>
      <c r="C23" s="61">
        <f t="shared" si="1"/>
      </c>
      <c r="D23" s="16"/>
      <c r="E23" s="29">
        <f t="shared" si="2"/>
      </c>
      <c r="F23" s="30">
        <f t="shared" si="0"/>
      </c>
      <c r="G23" s="62">
        <f t="shared" si="4"/>
      </c>
      <c r="H23" s="62">
        <f t="shared" si="3"/>
      </c>
      <c r="I23" s="55"/>
      <c r="J23" s="55"/>
      <c r="K23" s="66"/>
      <c r="L23" s="4" t="str">
        <f>IF($F$5="M","Bonded Concrete Pavement (100mm)","Bonded Concrete Pavement (4 inches)")</f>
        <v>Bonded Concrete Pavement (4 inches)</v>
      </c>
      <c r="M23" s="5">
        <f>IF($F$5="M",0.43,0.36)</f>
        <v>0.36</v>
      </c>
      <c r="O23" s="50"/>
      <c r="P23" s="67"/>
    </row>
    <row r="24" spans="1:16" ht="22.5" customHeight="1">
      <c r="A24" s="26"/>
      <c r="B24" s="31"/>
      <c r="C24" s="61">
        <f t="shared" si="1"/>
      </c>
      <c r="D24" s="16"/>
      <c r="E24" s="29">
        <f t="shared" si="2"/>
      </c>
      <c r="F24" s="30">
        <f t="shared" si="0"/>
      </c>
      <c r="G24" s="62">
        <f t="shared" si="4"/>
      </c>
      <c r="H24" s="62">
        <f t="shared" si="3"/>
      </c>
      <c r="I24" s="55"/>
      <c r="J24" s="55"/>
      <c r="K24" s="4"/>
      <c r="L24" s="4" t="str">
        <f>IF($F$5="M","","Bonded Concrete Pavement (4.5 inches)")</f>
        <v>Bonded Concrete Pavement (4.5 inches)</v>
      </c>
      <c r="M24" s="5">
        <f>IF($F$5="M",0.46,0.39)</f>
        <v>0.39</v>
      </c>
      <c r="O24" s="50"/>
      <c r="P24" s="5"/>
    </row>
    <row r="25" spans="1:16" ht="22.5" customHeight="1">
      <c r="A25" s="26"/>
      <c r="B25" s="31"/>
      <c r="C25" s="61">
        <f t="shared" si="1"/>
      </c>
      <c r="D25" s="16"/>
      <c r="E25" s="29">
        <f t="shared" si="2"/>
      </c>
      <c r="F25" s="30">
        <f t="shared" si="0"/>
      </c>
      <c r="G25" s="62">
        <f t="shared" si="4"/>
      </c>
      <c r="H25" s="62">
        <f t="shared" si="3"/>
      </c>
      <c r="I25" s="55"/>
      <c r="J25" s="55"/>
      <c r="K25" s="66"/>
      <c r="L25" s="4" t="str">
        <f>IF($F$5="M","Bonded Concrete Pavement (140mm)","Bonded Concrete Pavement (5 inches)")</f>
        <v>Bonded Concrete Pavement (5 inches)</v>
      </c>
      <c r="M25" s="5">
        <f>IF($F$5="M",0.5,0.42)</f>
        <v>0.42</v>
      </c>
      <c r="O25" s="50"/>
      <c r="P25" s="67"/>
    </row>
    <row r="26" spans="1:16" ht="22.5" customHeight="1">
      <c r="A26" s="26"/>
      <c r="B26" s="31"/>
      <c r="C26" s="61">
        <f t="shared" si="1"/>
      </c>
      <c r="D26" s="16"/>
      <c r="E26" s="29">
        <f t="shared" si="2"/>
      </c>
      <c r="F26" s="30">
        <f t="shared" si="0"/>
      </c>
      <c r="G26" s="62">
        <f t="shared" si="4"/>
      </c>
      <c r="H26" s="62">
        <f t="shared" si="3"/>
      </c>
      <c r="I26" s="55"/>
      <c r="J26" s="55"/>
      <c r="K26" s="4"/>
      <c r="L26" s="4" t="str">
        <f>IF($F$5="M","","Bonded Concrete Pavement (5.5 inches)")</f>
        <v>Bonded Concrete Pavement (5.5 inches)</v>
      </c>
      <c r="M26" s="5">
        <f>IF($F$5="M",0.53,0.45)</f>
        <v>0.45</v>
      </c>
      <c r="O26" s="50"/>
      <c r="P26" s="5"/>
    </row>
    <row r="27" spans="1:16" ht="22.5" customHeight="1">
      <c r="A27" s="26"/>
      <c r="B27" s="31"/>
      <c r="C27" s="61">
        <f t="shared" si="1"/>
      </c>
      <c r="D27" s="16"/>
      <c r="E27" s="29">
        <f t="shared" si="2"/>
      </c>
      <c r="F27" s="30">
        <f t="shared" si="0"/>
      </c>
      <c r="G27" s="62">
        <f t="shared" si="4"/>
      </c>
      <c r="H27" s="62">
        <f t="shared" si="3"/>
      </c>
      <c r="I27" s="55"/>
      <c r="J27" s="55"/>
      <c r="K27" s="66"/>
      <c r="L27" s="4" t="str">
        <f>IF($F$5="M","Bonded Concrete Pavement (160mm)","Bonded Concrete Pavement (6 inches)")</f>
        <v>Bonded Concrete Pavement (6 inches)</v>
      </c>
      <c r="M27" s="5">
        <f>IF($F$5="M",0.57,0.48)</f>
        <v>0.48</v>
      </c>
      <c r="O27" s="50"/>
      <c r="P27" s="67"/>
    </row>
    <row r="28" spans="1:16" ht="22.5" customHeight="1">
      <c r="A28" s="26"/>
      <c r="B28" s="31"/>
      <c r="C28" s="61">
        <f t="shared" si="1"/>
      </c>
      <c r="D28" s="16"/>
      <c r="E28" s="29">
        <f t="shared" si="2"/>
      </c>
      <c r="F28" s="30">
        <f t="shared" si="0"/>
      </c>
      <c r="G28" s="62">
        <f t="shared" si="4"/>
      </c>
      <c r="H28" s="62">
        <f t="shared" si="3"/>
      </c>
      <c r="I28" s="55"/>
      <c r="J28" s="55"/>
      <c r="K28" s="4"/>
      <c r="L28" s="4" t="str">
        <f>IF($F$5="M","Concrete Pavement 160 mm","Concrete Pavement 6 inches")</f>
        <v>Concrete Pavement 6 inches</v>
      </c>
      <c r="M28" s="5">
        <f>IF($F$5="M",0.58,0.48)</f>
        <v>0.48</v>
      </c>
      <c r="O28" s="50"/>
      <c r="P28" s="5"/>
    </row>
    <row r="29" spans="1:16" ht="22.5" customHeight="1">
      <c r="A29" s="26"/>
      <c r="B29" s="31"/>
      <c r="C29" s="61">
        <f t="shared" si="1"/>
      </c>
      <c r="D29" s="16"/>
      <c r="E29" s="29">
        <f t="shared" si="2"/>
      </c>
      <c r="F29" s="30">
        <f t="shared" si="0"/>
      </c>
      <c r="G29" s="62">
        <f t="shared" si="4"/>
      </c>
      <c r="H29" s="62">
        <f t="shared" si="3"/>
      </c>
      <c r="I29" s="55"/>
      <c r="J29" s="55"/>
      <c r="K29" s="4"/>
      <c r="L29" s="4" t="str">
        <f>IF($F$5="M","","Concrete Pavement 6.5 inches")</f>
        <v>Concrete Pavement 6.5 inches</v>
      </c>
      <c r="M29" s="5">
        <f>IF($F$5="M",0.61,0.51)</f>
        <v>0.51</v>
      </c>
      <c r="O29" s="50"/>
      <c r="P29" s="5"/>
    </row>
    <row r="30" spans="1:16" ht="22.5" customHeight="1">
      <c r="A30" s="26"/>
      <c r="B30" s="31"/>
      <c r="C30" s="61">
        <f t="shared" si="1"/>
      </c>
      <c r="D30" s="16"/>
      <c r="E30" s="29">
        <f t="shared" si="2"/>
      </c>
      <c r="F30" s="30">
        <f t="shared" si="0"/>
      </c>
      <c r="G30" s="62">
        <f t="shared" si="4"/>
      </c>
      <c r="H30" s="62">
        <f t="shared" si="3"/>
      </c>
      <c r="I30" s="55"/>
      <c r="J30" s="55"/>
      <c r="K30" s="4"/>
      <c r="L30" s="4" t="str">
        <f>IF($F$5="M","Concrete Pavement 180 mm","Concrete Pavement 7 inches")</f>
        <v>Concrete Pavement 7 inches</v>
      </c>
      <c r="M30" s="5">
        <f>IF($F$5="M",0.65,0.54)</f>
        <v>0.54</v>
      </c>
      <c r="O30" s="50"/>
      <c r="P30" s="5"/>
    </row>
    <row r="31" spans="1:16" ht="22.5" customHeight="1">
      <c r="A31" s="26"/>
      <c r="B31" s="31"/>
      <c r="C31" s="61">
        <f t="shared" si="1"/>
      </c>
      <c r="D31" s="16"/>
      <c r="E31" s="29">
        <f t="shared" si="2"/>
      </c>
      <c r="F31" s="30">
        <f t="shared" si="0"/>
      </c>
      <c r="G31" s="62">
        <f t="shared" si="4"/>
      </c>
      <c r="H31" s="62">
        <f t="shared" si="3"/>
      </c>
      <c r="I31" s="55"/>
      <c r="J31" s="55"/>
      <c r="K31" s="4"/>
      <c r="L31" s="4" t="str">
        <f>IF($F$5="M","Concrete Pavement 190 mm","Concrete Pavement 7.5 inches")</f>
        <v>Concrete Pavement 7.5 inches</v>
      </c>
      <c r="M31" s="5">
        <f>IF($F$5="M",0.69,0.57)</f>
        <v>0.57</v>
      </c>
      <c r="O31" s="50"/>
      <c r="P31" s="5"/>
    </row>
    <row r="32" spans="1:16" ht="22.5" customHeight="1">
      <c r="A32" s="26"/>
      <c r="B32" s="31"/>
      <c r="C32" s="61">
        <f t="shared" si="1"/>
      </c>
      <c r="D32" s="16"/>
      <c r="E32" s="29">
        <f t="shared" si="2"/>
      </c>
      <c r="F32" s="30">
        <f t="shared" si="0"/>
      </c>
      <c r="G32" s="62">
        <f t="shared" si="4"/>
      </c>
      <c r="H32" s="62">
        <f t="shared" si="3"/>
      </c>
      <c r="I32" s="55"/>
      <c r="J32" s="55"/>
      <c r="K32" s="4"/>
      <c r="L32" s="4" t="str">
        <f>IF($F$5="M","Concrete Pavement 200 mm","Concrete Pavement 8 inches")</f>
        <v>Concrete Pavement 8 inches</v>
      </c>
      <c r="M32" s="5">
        <f>IF($F$5="M",0.72,0.6)</f>
        <v>0.6</v>
      </c>
      <c r="O32" s="50"/>
      <c r="P32" s="5"/>
    </row>
    <row r="33" spans="1:16" ht="22.5" customHeight="1">
      <c r="A33" s="26"/>
      <c r="B33" s="31"/>
      <c r="C33" s="61">
        <f t="shared" si="1"/>
      </c>
      <c r="D33" s="16"/>
      <c r="E33" s="29">
        <f t="shared" si="2"/>
      </c>
      <c r="F33" s="30">
        <f t="shared" si="0"/>
      </c>
      <c r="G33" s="62">
        <f t="shared" si="4"/>
      </c>
      <c r="H33" s="62">
        <f t="shared" si="3"/>
      </c>
      <c r="I33" s="55"/>
      <c r="J33" s="55"/>
      <c r="K33" s="6"/>
      <c r="L33" s="4" t="str">
        <f>IF($F$5="M","Concrete Pavement 220 mm","Concrete Pavement 8 1/2 inches")</f>
        <v>Concrete Pavement 8 1/2 inches</v>
      </c>
      <c r="M33" s="5">
        <f>IF($F$5="M",0.76,0.63)</f>
        <v>0.63</v>
      </c>
      <c r="N33" s="6"/>
      <c r="O33" s="50"/>
      <c r="P33" s="50"/>
    </row>
    <row r="34" spans="1:16" ht="22.5" customHeight="1">
      <c r="A34" s="26"/>
      <c r="B34" s="31"/>
      <c r="C34" s="61">
        <f t="shared" si="1"/>
      </c>
      <c r="D34" s="16"/>
      <c r="E34" s="29">
        <f t="shared" si="2"/>
      </c>
      <c r="F34" s="30">
        <f t="shared" si="0"/>
      </c>
      <c r="G34" s="62">
        <f t="shared" si="4"/>
      </c>
      <c r="H34" s="62">
        <f t="shared" si="3"/>
      </c>
      <c r="I34" s="55"/>
      <c r="J34" s="55"/>
      <c r="K34" s="7"/>
      <c r="L34" s="4" t="str">
        <f>IF($F$5="M","Concrete Pavement 230 mm","Concrete Pavement 9 inches")</f>
        <v>Concrete Pavement 9 inches</v>
      </c>
      <c r="M34" s="5">
        <f>IF($F$5="M",0.79,0.66)</f>
        <v>0.66</v>
      </c>
      <c r="N34" s="6"/>
      <c r="O34" s="50"/>
      <c r="P34" s="50"/>
    </row>
    <row r="35" spans="1:16" ht="22.5" customHeight="1">
      <c r="A35" s="26"/>
      <c r="B35" s="31"/>
      <c r="C35" s="61">
        <f t="shared" si="1"/>
      </c>
      <c r="D35" s="16"/>
      <c r="E35" s="29">
        <f t="shared" si="2"/>
      </c>
      <c r="F35" s="30">
        <f t="shared" si="0"/>
      </c>
      <c r="G35" s="62">
        <f t="shared" si="4"/>
      </c>
      <c r="H35" s="62">
        <f t="shared" si="3"/>
      </c>
      <c r="I35" s="55"/>
      <c r="J35" s="55"/>
      <c r="K35" s="7"/>
      <c r="L35" s="4" t="str">
        <f>IF($F$5="M","Concrete Pavement 240 mm","Concrete Pavement 9 1/2 inches")</f>
        <v>Concrete Pavement 9 1/2 inches</v>
      </c>
      <c r="M35" s="5">
        <f>IF($F$5="M",0.82,0.69)</f>
        <v>0.69</v>
      </c>
      <c r="N35" s="6"/>
      <c r="O35" s="50"/>
      <c r="P35" s="50"/>
    </row>
    <row r="36" spans="1:16" ht="22.5" customHeight="1">
      <c r="A36" s="26"/>
      <c r="B36" s="31"/>
      <c r="C36" s="61">
        <f t="shared" si="1"/>
      </c>
      <c r="D36" s="16"/>
      <c r="E36" s="29">
        <f t="shared" si="2"/>
      </c>
      <c r="F36" s="30">
        <f t="shared" si="0"/>
      </c>
      <c r="G36" s="62">
        <f t="shared" si="4"/>
      </c>
      <c r="H36" s="62">
        <f t="shared" si="3"/>
      </c>
      <c r="I36" s="55"/>
      <c r="J36" s="55"/>
      <c r="K36" s="7"/>
      <c r="L36" s="4" t="str">
        <f>IF($F$5="M","Concrete Pavement 250 mm","Concrete Pavement 10 inches")</f>
        <v>Concrete Pavement 10 inches</v>
      </c>
      <c r="M36" s="5">
        <f>IF($F$5="M",0.86,0.72)</f>
        <v>0.72</v>
      </c>
      <c r="N36" s="6"/>
      <c r="O36" s="50"/>
      <c r="P36" s="50"/>
    </row>
    <row r="37" spans="1:16" ht="22.5" customHeight="1">
      <c r="A37" s="26"/>
      <c r="B37" s="31"/>
      <c r="C37" s="61">
        <f t="shared" si="1"/>
      </c>
      <c r="D37" s="16"/>
      <c r="E37" s="29">
        <f t="shared" si="2"/>
      </c>
      <c r="F37" s="30">
        <f t="shared" si="0"/>
      </c>
      <c r="G37" s="62">
        <f t="shared" si="4"/>
      </c>
      <c r="H37" s="62">
        <f t="shared" si="3"/>
      </c>
      <c r="I37" s="55"/>
      <c r="J37" s="55"/>
      <c r="K37" s="7"/>
      <c r="L37" s="4">
        <f>IF(F5="M","Concrete Pavement 260 mm","")</f>
      </c>
      <c r="M37" s="5">
        <v>0.86</v>
      </c>
      <c r="N37" s="6"/>
      <c r="O37" s="50"/>
      <c r="P37" s="50"/>
    </row>
    <row r="38" spans="1:16" ht="22.5" customHeight="1">
      <c r="A38" s="26"/>
      <c r="B38" s="31"/>
      <c r="C38" s="61">
        <f t="shared" si="1"/>
      </c>
      <c r="D38" s="16"/>
      <c r="E38" s="29">
        <f t="shared" si="2"/>
      </c>
      <c r="F38" s="30">
        <f t="shared" si="0"/>
      </c>
      <c r="G38" s="62">
        <f t="shared" si="4"/>
      </c>
      <c r="H38" s="62">
        <f t="shared" si="3"/>
      </c>
      <c r="I38" s="55"/>
      <c r="J38" s="55"/>
      <c r="K38" s="7"/>
      <c r="L38" s="4" t="str">
        <f>IF($F$5="M","Concrete Pavement 270 mm","Concrete Pavement 10 1/2 inches")</f>
        <v>Concrete Pavement 10 1/2 inches</v>
      </c>
      <c r="M38" s="5">
        <f>IF($F$5="M",0.89,0.75)</f>
        <v>0.75</v>
      </c>
      <c r="N38" s="6"/>
      <c r="O38" s="50"/>
      <c r="P38" s="50"/>
    </row>
    <row r="39" spans="1:16" ht="22.5" customHeight="1">
      <c r="A39" s="39"/>
      <c r="B39" s="40"/>
      <c r="C39" s="32"/>
      <c r="D39" s="32"/>
      <c r="E39" s="33"/>
      <c r="F39" s="34"/>
      <c r="G39" s="35"/>
      <c r="H39" s="36" t="s">
        <v>66</v>
      </c>
      <c r="I39" s="47"/>
      <c r="J39" s="55"/>
      <c r="K39" s="7"/>
      <c r="L39" s="4" t="str">
        <f>IF($F$5="M","Concrete Pavement 280 mm","Concrete Pavement 11 inches")</f>
        <v>Concrete Pavement 11 inches</v>
      </c>
      <c r="M39" s="5">
        <f>IF($F$5="M",0.93,0.78)</f>
        <v>0.78</v>
      </c>
      <c r="N39" s="6"/>
      <c r="O39" s="50"/>
      <c r="P39" s="50"/>
    </row>
    <row r="40" spans="9:14" ht="12.75">
      <c r="I40" s="41"/>
      <c r="J40" s="41"/>
      <c r="K40" s="7"/>
      <c r="L40" s="4" t="str">
        <f>IF($F$5="M","Concrete Pavement 290 mm","Concrete Pavement 11 1/2 inches")</f>
        <v>Concrete Pavement 11 1/2 inches</v>
      </c>
      <c r="M40" s="5">
        <f>IF($F$5="M",0.96,0.81)</f>
        <v>0.81</v>
      </c>
      <c r="N40" s="6"/>
    </row>
    <row r="41" spans="1:14" ht="12.75">
      <c r="A41" s="42"/>
      <c r="B41" s="43"/>
      <c r="C41" s="44"/>
      <c r="D41" s="44"/>
      <c r="E41" s="45"/>
      <c r="F41" s="46"/>
      <c r="G41" s="47"/>
      <c r="H41" s="47"/>
      <c r="I41" s="47"/>
      <c r="J41" s="47"/>
      <c r="K41" s="7"/>
      <c r="L41" s="4" t="str">
        <f>IF($F$5="M","Concrete Pavement 300 mm","Concrete Pavement 12 inches")</f>
        <v>Concrete Pavement 12 inches</v>
      </c>
      <c r="M41" s="5">
        <f>IF($F$5="M",0.99,0.83)</f>
        <v>0.83</v>
      </c>
      <c r="N41" s="6"/>
    </row>
    <row r="42" spans="1:14" ht="12.75">
      <c r="A42" s="42"/>
      <c r="B42" s="43"/>
      <c r="C42" s="44"/>
      <c r="D42" s="44"/>
      <c r="E42" s="45"/>
      <c r="F42" s="46"/>
      <c r="G42" s="47"/>
      <c r="H42" s="47"/>
      <c r="I42" s="47"/>
      <c r="J42" s="47"/>
      <c r="K42" s="7"/>
      <c r="L42" s="4" t="str">
        <f>IF($F$5="M","Concrete Pavement 320 mm","Concrete Pavement 12 1/2 inches")</f>
        <v>Concrete Pavement 12 1/2 inches</v>
      </c>
      <c r="M42" s="5">
        <f>IF($F$5="M",1.02,0.86)</f>
        <v>0.86</v>
      </c>
      <c r="N42" s="6"/>
    </row>
    <row r="43" spans="1:14" ht="12.75">
      <c r="A43" s="42"/>
      <c r="B43" s="43"/>
      <c r="C43" s="44"/>
      <c r="D43" s="44"/>
      <c r="E43" s="45"/>
      <c r="F43" s="46"/>
      <c r="G43" s="47"/>
      <c r="H43" s="47"/>
      <c r="I43" s="47"/>
      <c r="J43" s="47"/>
      <c r="K43" s="7"/>
      <c r="L43" s="4" t="str">
        <f>IF($F$5="M","Concrete Pavement 330 mm","Concrete Pavement 13 inches")</f>
        <v>Concrete Pavement 13 inches</v>
      </c>
      <c r="M43" s="5">
        <f>IF($F$5="M",1.06,0.89)</f>
        <v>0.89</v>
      </c>
      <c r="N43" s="6"/>
    </row>
    <row r="44" spans="1:14" ht="12.75">
      <c r="A44" s="42"/>
      <c r="B44" s="43"/>
      <c r="C44" s="44"/>
      <c r="D44" s="44"/>
      <c r="E44" s="45"/>
      <c r="F44" s="46"/>
      <c r="G44" s="47"/>
      <c r="H44" s="47"/>
      <c r="I44" s="47"/>
      <c r="J44" s="47"/>
      <c r="K44" s="7"/>
      <c r="L44" s="4" t="str">
        <f>IF($F$5="M","Concrete Pavement 340 mm","Concrete Pavement 13 1/2 inches")</f>
        <v>Concrete Pavement 13 1/2 inches</v>
      </c>
      <c r="M44" s="5">
        <f>IF($F$5="M",1.1,0.92)</f>
        <v>0.92</v>
      </c>
      <c r="N44" s="6"/>
    </row>
    <row r="45" spans="1:14" ht="12.75">
      <c r="A45" s="42"/>
      <c r="B45" s="43"/>
      <c r="C45" s="44"/>
      <c r="D45" s="44"/>
      <c r="E45" s="45"/>
      <c r="F45" s="46"/>
      <c r="G45" s="47"/>
      <c r="H45" s="47"/>
      <c r="I45" s="47"/>
      <c r="J45" s="47"/>
      <c r="K45" s="7"/>
      <c r="L45" s="4" t="str">
        <f>IF($F$5="M","Concrete Pavement 360 mm","Concrete Pavement 14 inches")</f>
        <v>Concrete Pavement 14 inches</v>
      </c>
      <c r="M45" s="5">
        <f>IF($F$5="M",1.14,0.95)</f>
        <v>0.95</v>
      </c>
      <c r="N45" s="6"/>
    </row>
    <row r="46" spans="1:14" ht="12.75">
      <c r="A46" s="48"/>
      <c r="B46" s="48"/>
      <c r="C46" s="48"/>
      <c r="D46" s="48"/>
      <c r="E46" s="49"/>
      <c r="F46" s="48"/>
      <c r="G46" s="48"/>
      <c r="H46" s="48"/>
      <c r="I46" s="48"/>
      <c r="J46" s="48"/>
      <c r="K46" s="7"/>
      <c r="L46" s="4" t="str">
        <f>IF($F$5="M","Concrete Pavement 370 mm","Concrete Pavement 14 1/2 inches")</f>
        <v>Concrete Pavement 14 1/2 inches</v>
      </c>
      <c r="M46" s="5">
        <f>IF($F$5="M",1.17,0.98)</f>
        <v>0.98</v>
      </c>
      <c r="N46" s="6"/>
    </row>
    <row r="47" spans="1:14" ht="12.75">
      <c r="A47" s="50"/>
      <c r="B47" s="50"/>
      <c r="C47" s="50"/>
      <c r="D47" s="50"/>
      <c r="E47" s="51"/>
      <c r="F47" s="50"/>
      <c r="G47" s="50"/>
      <c r="H47" s="50"/>
      <c r="I47" s="50"/>
      <c r="J47" s="50"/>
      <c r="K47" s="7"/>
      <c r="L47" s="4" t="s">
        <v>60</v>
      </c>
      <c r="M47" s="5">
        <f>IF($F$5="M",334.65,10.2)</f>
        <v>10.2</v>
      </c>
      <c r="N47" s="6"/>
    </row>
    <row r="48" spans="1:14" ht="12.75">
      <c r="A48" s="50"/>
      <c r="B48" s="50"/>
      <c r="C48" s="50"/>
      <c r="D48" s="50"/>
      <c r="E48" s="51"/>
      <c r="F48" s="50"/>
      <c r="G48" s="50"/>
      <c r="H48" s="50"/>
      <c r="I48" s="50"/>
      <c r="J48" s="50"/>
      <c r="K48" s="7"/>
      <c r="L48" s="4" t="s">
        <v>59</v>
      </c>
      <c r="M48" s="5">
        <f>IF($F$5="M",2.65,2.4)</f>
        <v>2.4</v>
      </c>
      <c r="N48" s="6"/>
    </row>
    <row r="49" spans="1:14" ht="12.75">
      <c r="A49" s="50"/>
      <c r="B49" s="50"/>
      <c r="C49" s="50"/>
      <c r="D49" s="50"/>
      <c r="E49" s="51"/>
      <c r="F49" s="50"/>
      <c r="G49" s="50"/>
      <c r="H49" s="50"/>
      <c r="I49" s="50"/>
      <c r="J49" s="50"/>
      <c r="K49" s="7"/>
      <c r="L49" s="4" t="s">
        <v>64</v>
      </c>
      <c r="M49" s="5">
        <f>IF($F$5="M",2.65,2.4)</f>
        <v>2.4</v>
      </c>
      <c r="N49" s="6"/>
    </row>
    <row r="50" spans="1:14" ht="12.75">
      <c r="A50" s="50"/>
      <c r="B50" s="50"/>
      <c r="C50" s="50"/>
      <c r="D50" s="50"/>
      <c r="E50" s="51"/>
      <c r="F50" s="50"/>
      <c r="G50" s="50"/>
      <c r="H50" s="50"/>
      <c r="I50" s="50"/>
      <c r="J50" s="50"/>
      <c r="K50" s="7"/>
      <c r="L50" s="4" t="s">
        <v>65</v>
      </c>
      <c r="M50" s="5">
        <f>IF($F$5="M",2.65,2.4)</f>
        <v>2.4</v>
      </c>
      <c r="N50" s="6"/>
    </row>
    <row r="51" spans="11:13" ht="12.75">
      <c r="K51" s="7"/>
      <c r="L51" s="4"/>
      <c r="M51" s="5"/>
    </row>
    <row r="52" spans="11:13" ht="12.75">
      <c r="K52" s="7"/>
      <c r="L52" s="6"/>
      <c r="M52" s="6"/>
    </row>
    <row r="53" spans="11:13" ht="12.75">
      <c r="K53" s="7"/>
      <c r="L53" s="37"/>
      <c r="M53" s="37"/>
    </row>
    <row r="54" spans="11:13" ht="12.75">
      <c r="K54" s="7"/>
      <c r="L54" s="37"/>
      <c r="M54" s="37"/>
    </row>
    <row r="55" spans="12:13" ht="12.75">
      <c r="L55" s="37"/>
      <c r="M55" s="37"/>
    </row>
    <row r="56" spans="12:13" ht="12.75">
      <c r="L56" s="37"/>
      <c r="M56" s="37"/>
    </row>
    <row r="57" spans="12:13" ht="12.75">
      <c r="L57" s="37"/>
      <c r="M57" s="37"/>
    </row>
    <row r="58" spans="12:13" ht="12.75">
      <c r="L58" s="37"/>
      <c r="M58" s="37"/>
    </row>
    <row r="59" spans="12:13" ht="12.75">
      <c r="L59" s="37"/>
      <c r="M59" s="37"/>
    </row>
    <row r="60" spans="12:13" ht="12.75">
      <c r="L60" s="37"/>
      <c r="M60" s="37"/>
    </row>
    <row r="61" spans="12:13" ht="12.75">
      <c r="L61" s="37"/>
      <c r="M61" s="37"/>
    </row>
    <row r="62" spans="12:13" ht="12.75">
      <c r="L62" s="37"/>
      <c r="M62" s="37"/>
    </row>
    <row r="63" spans="12:13" ht="12.75">
      <c r="L63" s="37"/>
      <c r="M63" s="37"/>
    </row>
    <row r="64" spans="12:13" ht="12.75">
      <c r="L64" s="37"/>
      <c r="M64" s="37"/>
    </row>
    <row r="65" spans="12:13" ht="12.75">
      <c r="L65" s="37"/>
      <c r="M65" s="37"/>
    </row>
    <row r="66" spans="12:13" ht="12.75">
      <c r="L66" s="37"/>
      <c r="M66" s="37"/>
    </row>
    <row r="67" spans="12:13" ht="12.75">
      <c r="L67" s="37"/>
      <c r="M67" s="37"/>
    </row>
    <row r="68" spans="12:13" ht="12.75">
      <c r="L68" s="37"/>
      <c r="M68" s="37"/>
    </row>
    <row r="69" spans="12:13" ht="12.75">
      <c r="L69" s="37"/>
      <c r="M69" s="37"/>
    </row>
    <row r="70" ht="12.75">
      <c r="L70" s="37"/>
    </row>
    <row r="71" ht="12.75">
      <c r="L71" s="37"/>
    </row>
    <row r="72" ht="12.75">
      <c r="L72" s="37"/>
    </row>
  </sheetData>
  <sheetProtection password="BF11" sheet="1" objects="1" scenarios="1" selectLockedCells="1"/>
  <mergeCells count="4">
    <mergeCell ref="F3:H3"/>
    <mergeCell ref="F4:H4"/>
    <mergeCell ref="D5:E5"/>
    <mergeCell ref="B6:E6"/>
  </mergeCells>
  <dataValidations count="1">
    <dataValidation type="list" allowBlank="1" showInputMessage="1" showErrorMessage="1" promptTitle="Data Entry Restriction!" prompt="Please select one item from this drop down box. No other values will be accepted." errorTitle="Wrong data!" error="Please enter a value from the drop down list." sqref="B6:E6">
      <formula1>$L$7:$L$50</formula1>
    </dataValidation>
  </dataValidations>
  <printOptions/>
  <pageMargins left="1.06" right="0.5" top="0.5" bottom="0" header="0.5" footer="0"/>
  <pageSetup blackAndWhite="1" fitToHeight="1" fitToWidth="1" horizontalDpi="600" verticalDpi="600" orientation="portrait" scale="9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"/>
  <sheetViews>
    <sheetView showGridLines="0" showRowColHeaders="0" zoomScalePageLayoutView="0" workbookViewId="0" topLeftCell="A1">
      <selection activeCell="B6" sqref="B6:E6"/>
    </sheetView>
  </sheetViews>
  <sheetFormatPr defaultColWidth="9.140625" defaultRowHeight="12.75"/>
  <cols>
    <col min="1" max="1" width="13.00390625" style="0" customWidth="1"/>
    <col min="2" max="2" width="13.28125" style="0" customWidth="1"/>
    <col min="3" max="3" width="9.00390625" style="0" customWidth="1"/>
    <col min="4" max="4" width="9.28125" style="0" customWidth="1"/>
    <col min="5" max="5" width="11.00390625" style="1" customWidth="1"/>
    <col min="6" max="6" width="10.57421875" style="0" customWidth="1"/>
    <col min="7" max="8" width="16.00390625" style="0" bestFit="1" customWidth="1"/>
    <col min="11" max="11" width="3.57421875" style="0" customWidth="1"/>
    <col min="12" max="12" width="47.00390625" style="0" hidden="1" customWidth="1"/>
    <col min="13" max="13" width="8.28125" style="0" hidden="1" customWidth="1"/>
    <col min="14" max="14" width="7.140625" style="0" customWidth="1"/>
    <col min="15" max="16" width="9.140625" style="0" customWidth="1"/>
  </cols>
  <sheetData>
    <row r="1" spans="1:16" ht="15">
      <c r="A1" s="8"/>
      <c r="B1" s="8"/>
      <c r="C1" s="9" t="s">
        <v>67</v>
      </c>
      <c r="D1" s="8"/>
      <c r="E1" s="10"/>
      <c r="F1" s="8"/>
      <c r="G1" s="8"/>
      <c r="H1" s="8"/>
      <c r="I1" s="52"/>
      <c r="J1" s="52"/>
      <c r="K1" s="50"/>
      <c r="L1" s="50"/>
      <c r="M1" s="50"/>
      <c r="N1" s="50"/>
      <c r="O1" s="50"/>
      <c r="P1" s="50"/>
    </row>
    <row r="2" spans="1:16" ht="17.25" customHeight="1">
      <c r="A2" s="8"/>
      <c r="B2" s="8"/>
      <c r="C2" s="8"/>
      <c r="D2" s="8"/>
      <c r="E2" s="10"/>
      <c r="F2" s="8"/>
      <c r="G2" s="8"/>
      <c r="H2" s="8"/>
      <c r="I2" s="52"/>
      <c r="J2" s="52"/>
      <c r="K2" s="50"/>
      <c r="L2" s="50"/>
      <c r="M2" s="50"/>
      <c r="N2" s="50"/>
      <c r="O2" s="50"/>
      <c r="P2" s="50"/>
    </row>
    <row r="3" spans="1:16" ht="21" customHeight="1">
      <c r="A3" s="11"/>
      <c r="B3" s="12"/>
      <c r="C3" s="11"/>
      <c r="D3" s="11"/>
      <c r="E3" s="63" t="s">
        <v>42</v>
      </c>
      <c r="F3" s="97">
        <f>IF('Item 1'!F3:H3="","",'Item 1'!F3:H3)</f>
      </c>
      <c r="G3" s="97"/>
      <c r="H3" s="97"/>
      <c r="I3" s="53"/>
      <c r="J3" s="53"/>
      <c r="K3" s="50"/>
      <c r="L3" s="50"/>
      <c r="M3" s="50"/>
      <c r="N3" s="50"/>
      <c r="O3" s="50"/>
      <c r="P3" s="50"/>
    </row>
    <row r="4" spans="1:16" ht="21" customHeight="1">
      <c r="A4" s="13" t="s">
        <v>43</v>
      </c>
      <c r="B4" s="82">
        <f>IF('Item 1'!B4="","",'Item 1'!B4)</f>
      </c>
      <c r="C4" s="38"/>
      <c r="D4" s="11"/>
      <c r="E4" s="64" t="s">
        <v>41</v>
      </c>
      <c r="F4" s="98">
        <f>IF('Item 1'!F4:H4="","",'Item 1'!F4:H4)</f>
      </c>
      <c r="G4" s="99"/>
      <c r="H4" s="100"/>
      <c r="I4" s="53"/>
      <c r="J4" s="53"/>
      <c r="K4" s="50"/>
      <c r="L4" s="57"/>
      <c r="M4" s="50"/>
      <c r="N4" s="50"/>
      <c r="O4" s="50"/>
      <c r="P4" s="50"/>
    </row>
    <row r="5" spans="1:16" ht="21" customHeight="1">
      <c r="A5" s="79" t="s">
        <v>44</v>
      </c>
      <c r="B5" s="15"/>
      <c r="C5" s="81">
        <f>IF('Item 1'!C5="","",'Item 1'!C5)</f>
      </c>
      <c r="D5" s="95" t="s">
        <v>46</v>
      </c>
      <c r="E5" s="96"/>
      <c r="F5" s="80">
        <f>IF('Item 1'!F5="","",'Item 1'!F5)</f>
      </c>
      <c r="G5" s="65" t="s">
        <v>45</v>
      </c>
      <c r="H5" s="60">
        <f>IF(B6="","",VLOOKUP(B6,L7:M50,2,FALSE))</f>
      </c>
      <c r="I5" s="53"/>
      <c r="J5" s="53"/>
      <c r="K5" s="4"/>
      <c r="L5" s="56"/>
      <c r="N5" s="4"/>
      <c r="O5" s="50"/>
      <c r="P5" s="50"/>
    </row>
    <row r="6" spans="1:16" ht="21" customHeight="1">
      <c r="A6" s="79" t="s">
        <v>20</v>
      </c>
      <c r="B6" s="88"/>
      <c r="C6" s="89"/>
      <c r="D6" s="89"/>
      <c r="E6" s="90"/>
      <c r="F6" s="58"/>
      <c r="H6" s="59"/>
      <c r="I6" s="53"/>
      <c r="J6" s="53"/>
      <c r="K6" s="4"/>
      <c r="L6" s="4" t="s">
        <v>21</v>
      </c>
      <c r="M6" s="4" t="s">
        <v>37</v>
      </c>
      <c r="O6" s="50"/>
      <c r="P6" s="4"/>
    </row>
    <row r="7" spans="1:16" ht="12.75">
      <c r="A7" s="11"/>
      <c r="B7" s="11"/>
      <c r="C7" s="17"/>
      <c r="D7" s="11"/>
      <c r="E7" s="7"/>
      <c r="F7" s="11"/>
      <c r="G7" s="11"/>
      <c r="H7" s="11"/>
      <c r="I7" s="53"/>
      <c r="J7" s="53"/>
      <c r="K7" s="4"/>
      <c r="L7" s="4" t="s">
        <v>22</v>
      </c>
      <c r="M7" s="5">
        <f>IF($F$5="M",0.33,0.25)</f>
        <v>0.25</v>
      </c>
      <c r="O7" s="50"/>
      <c r="P7" s="5"/>
    </row>
    <row r="8" spans="1:16" ht="12.75">
      <c r="A8" s="18" t="s">
        <v>0</v>
      </c>
      <c r="B8" s="18" t="s">
        <v>18</v>
      </c>
      <c r="C8" s="19" t="s">
        <v>2</v>
      </c>
      <c r="D8" s="18" t="s">
        <v>5</v>
      </c>
      <c r="E8" s="20" t="s">
        <v>8</v>
      </c>
      <c r="F8" s="18" t="s">
        <v>10</v>
      </c>
      <c r="G8" s="18" t="s">
        <v>13</v>
      </c>
      <c r="H8" s="18" t="s">
        <v>8</v>
      </c>
      <c r="I8" s="54"/>
      <c r="J8" s="54"/>
      <c r="K8" s="4"/>
      <c r="L8" s="4" t="s">
        <v>61</v>
      </c>
      <c r="M8" s="5">
        <f>IF($F$5="M",0.33,0.25)</f>
        <v>0.25</v>
      </c>
      <c r="O8" s="50"/>
      <c r="P8" s="5"/>
    </row>
    <row r="9" spans="1:16" ht="12.75">
      <c r="A9" s="21"/>
      <c r="B9" s="22" t="s">
        <v>16</v>
      </c>
      <c r="C9" s="22" t="s">
        <v>3</v>
      </c>
      <c r="D9" s="22" t="s">
        <v>6</v>
      </c>
      <c r="E9" s="23"/>
      <c r="F9" s="22" t="s">
        <v>11</v>
      </c>
      <c r="G9" s="22" t="s">
        <v>14</v>
      </c>
      <c r="H9" s="22" t="s">
        <v>9</v>
      </c>
      <c r="I9" s="54"/>
      <c r="J9" s="54"/>
      <c r="K9" s="4"/>
      <c r="L9" s="4" t="s">
        <v>19</v>
      </c>
      <c r="M9" s="5">
        <f>IF($F$5="M",0.43,0.33)</f>
        <v>0.33</v>
      </c>
      <c r="O9" s="50"/>
      <c r="P9" s="5"/>
    </row>
    <row r="10" spans="1:16" ht="12.75">
      <c r="A10" s="24" t="s">
        <v>1</v>
      </c>
      <c r="B10" s="24" t="s">
        <v>17</v>
      </c>
      <c r="C10" s="24" t="s">
        <v>4</v>
      </c>
      <c r="D10" s="24" t="s">
        <v>7</v>
      </c>
      <c r="E10" s="25" t="s">
        <v>9</v>
      </c>
      <c r="F10" s="24" t="s">
        <v>12</v>
      </c>
      <c r="G10" s="24" t="s">
        <v>15</v>
      </c>
      <c r="H10" s="24" t="s">
        <v>15</v>
      </c>
      <c r="I10" s="54"/>
      <c r="J10" s="54"/>
      <c r="K10" s="4"/>
      <c r="L10" s="4" t="s">
        <v>62</v>
      </c>
      <c r="M10" s="5">
        <f>IF($F$5="M",0.43,0.33)</f>
        <v>0.33</v>
      </c>
      <c r="O10" s="50"/>
      <c r="P10" s="5"/>
    </row>
    <row r="11" spans="1:16" ht="22.5" customHeight="1">
      <c r="A11" s="26"/>
      <c r="B11" s="27"/>
      <c r="C11" s="61">
        <f>IF(H5="","",ABS($H$5))</f>
      </c>
      <c r="D11" s="28"/>
      <c r="E11" s="29">
        <f>IF(D11="","",+D11)</f>
      </c>
      <c r="F11" s="30">
        <f>+IF(B11="","",(B11-$C$5))</f>
      </c>
      <c r="G11" s="62">
        <f>IF(C11="","",IF(F11="","",+C11*D11*F11))</f>
      </c>
      <c r="H11" s="62">
        <f>+G11</f>
      </c>
      <c r="I11" s="54"/>
      <c r="J11" s="54"/>
      <c r="K11" s="4"/>
      <c r="L11" s="4" t="s">
        <v>24</v>
      </c>
      <c r="M11" s="5">
        <f>IF($F$5="M",0.38,0.29)</f>
        <v>0.29</v>
      </c>
      <c r="O11" s="50"/>
      <c r="P11" s="5"/>
    </row>
    <row r="12" spans="1:16" ht="22.5" customHeight="1">
      <c r="A12" s="26"/>
      <c r="B12" s="31"/>
      <c r="C12" s="61">
        <f>IF(B12="","",ABS($H$5))</f>
      </c>
      <c r="D12" s="16"/>
      <c r="E12" s="29">
        <f>IF(D12="","",+D12+E11)</f>
      </c>
      <c r="F12" s="30">
        <f aca="true" t="shared" si="0" ref="F12:F38">+IF(B12="","",(B12-$C$5))</f>
      </c>
      <c r="G12" s="62">
        <f>IF(C12="","",IF(F12="","",+C12*D12*F12))</f>
      </c>
      <c r="H12" s="62">
        <f>IF(G12="","",+H11+G12)</f>
      </c>
      <c r="I12" s="55"/>
      <c r="J12" s="55"/>
      <c r="K12" s="4"/>
      <c r="L12" s="4" t="s">
        <v>25</v>
      </c>
      <c r="M12" s="5">
        <f>IF($F$5="M",0.39,0.3)</f>
        <v>0.3</v>
      </c>
      <c r="O12" s="50"/>
      <c r="P12" s="5"/>
    </row>
    <row r="13" spans="1:16" ht="22.5" customHeight="1">
      <c r="A13" s="26"/>
      <c r="B13" s="31"/>
      <c r="C13" s="61">
        <f aca="true" t="shared" si="1" ref="C13:C38">IF(B13="","",ABS($H$5))</f>
      </c>
      <c r="D13" s="16"/>
      <c r="E13" s="29">
        <f aca="true" t="shared" si="2" ref="E13:E38">IF(D13="","",+D13+E12)</f>
      </c>
      <c r="F13" s="30">
        <f t="shared" si="0"/>
      </c>
      <c r="G13" s="62">
        <f>IF(C13="","",IF(F13="","",+C13*D13*F13))</f>
      </c>
      <c r="H13" s="62">
        <f aca="true" t="shared" si="3" ref="H13:H38">IF(G13="","",+H12+G13)</f>
      </c>
      <c r="I13" s="55"/>
      <c r="J13" s="55"/>
      <c r="K13" s="4"/>
      <c r="L13" s="4" t="s">
        <v>63</v>
      </c>
      <c r="M13" s="5">
        <f>IF($F$5="M",0.36,0.3)</f>
        <v>0.3</v>
      </c>
      <c r="O13" s="50"/>
      <c r="P13" s="5"/>
    </row>
    <row r="14" spans="1:16" ht="22.5" customHeight="1">
      <c r="A14" s="26"/>
      <c r="B14" s="31"/>
      <c r="C14" s="61">
        <f t="shared" si="1"/>
      </c>
      <c r="D14" s="16"/>
      <c r="E14" s="29">
        <f t="shared" si="2"/>
      </c>
      <c r="F14" s="30">
        <f t="shared" si="0"/>
      </c>
      <c r="G14" s="62">
        <f>IF(C14="","",IF(F14="","",+C14*D14*F14))</f>
      </c>
      <c r="H14" s="62">
        <f t="shared" si="3"/>
      </c>
      <c r="I14" s="55"/>
      <c r="J14" s="55"/>
      <c r="K14" s="66"/>
      <c r="L14" s="4" t="str">
        <f>IF($F$5="M","Concrete Placement:  75mm","Concrete Placement:  3 inches")</f>
        <v>Concrete Placement:  3 inches</v>
      </c>
      <c r="M14" s="5">
        <f>IF($F$5="M",0.36,0.3)</f>
        <v>0.3</v>
      </c>
      <c r="O14" s="50"/>
      <c r="P14" s="67"/>
    </row>
    <row r="15" spans="1:16" ht="22.5" customHeight="1">
      <c r="A15" s="26"/>
      <c r="B15" s="31"/>
      <c r="C15" s="61">
        <f t="shared" si="1"/>
      </c>
      <c r="D15" s="16"/>
      <c r="E15" s="29">
        <f t="shared" si="2"/>
      </c>
      <c r="F15" s="30">
        <f t="shared" si="0"/>
      </c>
      <c r="G15" s="62">
        <f>IF(C15="","",IF(F15="","",+C15*D15*F15))</f>
      </c>
      <c r="H15" s="62">
        <f t="shared" si="3"/>
      </c>
      <c r="I15" s="55"/>
      <c r="J15" s="55"/>
      <c r="K15" s="66"/>
      <c r="L15" s="4" t="str">
        <f>IF($F$5="M","","Concrete Placement:  3.5 inches")</f>
        <v>Concrete Placement:  3.5 inches</v>
      </c>
      <c r="M15" s="5">
        <f>IF($F$5="M",0.39,0.33)</f>
        <v>0.33</v>
      </c>
      <c r="O15" s="50"/>
      <c r="P15" s="67"/>
    </row>
    <row r="16" spans="1:16" ht="22.5" customHeight="1">
      <c r="A16" s="26"/>
      <c r="B16" s="31"/>
      <c r="C16" s="61">
        <f t="shared" si="1"/>
      </c>
      <c r="D16" s="16"/>
      <c r="E16" s="29">
        <f t="shared" si="2"/>
      </c>
      <c r="F16" s="30">
        <f t="shared" si="0"/>
      </c>
      <c r="G16" s="62">
        <f aca="true" t="shared" si="4" ref="G16:G38">IF(F16="","",+C16*D16*F16)</f>
      </c>
      <c r="H16" s="62">
        <f t="shared" si="3"/>
      </c>
      <c r="I16" s="55"/>
      <c r="J16" s="55"/>
      <c r="K16" s="4"/>
      <c r="L16" s="4" t="str">
        <f>IF($F$5="M","Concrete Placement:  100mm","Concrete Placement:  4 inches")</f>
        <v>Concrete Placement:  4 inches</v>
      </c>
      <c r="M16" s="5">
        <f>IF($F$5="M",0.43,0.36)</f>
        <v>0.36</v>
      </c>
      <c r="O16" s="50"/>
      <c r="P16" s="5"/>
    </row>
    <row r="17" spans="1:16" ht="22.5" customHeight="1">
      <c r="A17" s="26"/>
      <c r="B17" s="31"/>
      <c r="C17" s="61">
        <f t="shared" si="1"/>
      </c>
      <c r="D17" s="16"/>
      <c r="E17" s="29">
        <f t="shared" si="2"/>
      </c>
      <c r="F17" s="30">
        <f t="shared" si="0"/>
      </c>
      <c r="G17" s="62">
        <f t="shared" si="4"/>
      </c>
      <c r="H17" s="62">
        <f t="shared" si="3"/>
      </c>
      <c r="I17" s="55"/>
      <c r="J17" s="55"/>
      <c r="K17" s="66"/>
      <c r="L17" s="4" t="str">
        <f>IF($F$5="M","","Concrete Placement:  4.5 inches")</f>
        <v>Concrete Placement:  4.5 inches</v>
      </c>
      <c r="M17" s="5">
        <f>IF($F$5="M",0.46,0.39)</f>
        <v>0.39</v>
      </c>
      <c r="O17" s="50"/>
      <c r="P17" s="67"/>
    </row>
    <row r="18" spans="1:16" ht="22.5" customHeight="1">
      <c r="A18" s="26"/>
      <c r="B18" s="31"/>
      <c r="C18" s="61">
        <f t="shared" si="1"/>
      </c>
      <c r="D18" s="16"/>
      <c r="E18" s="29">
        <f t="shared" si="2"/>
      </c>
      <c r="F18" s="30">
        <f t="shared" si="0"/>
      </c>
      <c r="G18" s="62">
        <f t="shared" si="4"/>
      </c>
      <c r="H18" s="62">
        <f t="shared" si="3"/>
      </c>
      <c r="I18" s="55"/>
      <c r="J18" s="55"/>
      <c r="K18" s="4"/>
      <c r="L18" s="4" t="str">
        <f>IF($F$5="M","Concrete Placement:  140mm","Concrete Placement:  5 inches")</f>
        <v>Concrete Placement:  5 inches</v>
      </c>
      <c r="M18" s="5">
        <f>IF($F$5="M",0.5,0.42)</f>
        <v>0.42</v>
      </c>
      <c r="O18" s="50"/>
      <c r="P18" s="5"/>
    </row>
    <row r="19" spans="1:16" ht="22.5" customHeight="1">
      <c r="A19" s="26"/>
      <c r="B19" s="31"/>
      <c r="C19" s="61">
        <f t="shared" si="1"/>
      </c>
      <c r="D19" s="16"/>
      <c r="E19" s="29">
        <f t="shared" si="2"/>
      </c>
      <c r="F19" s="30">
        <f t="shared" si="0"/>
      </c>
      <c r="G19" s="62">
        <f t="shared" si="4"/>
      </c>
      <c r="H19" s="62">
        <f t="shared" si="3"/>
      </c>
      <c r="I19" s="55"/>
      <c r="J19" s="55"/>
      <c r="K19" s="66"/>
      <c r="L19" s="4" t="str">
        <f>IF($F$5="M","","Concrete Placement:  5.5 inches")</f>
        <v>Concrete Placement:  5.5 inches</v>
      </c>
      <c r="M19" s="5">
        <f>IF($F$5="M",0.53,0.45)</f>
        <v>0.45</v>
      </c>
      <c r="O19" s="50"/>
      <c r="P19" s="67"/>
    </row>
    <row r="20" spans="1:16" ht="21" customHeight="1">
      <c r="A20" s="26"/>
      <c r="B20" s="31"/>
      <c r="C20" s="61">
        <f t="shared" si="1"/>
      </c>
      <c r="D20" s="16"/>
      <c r="E20" s="29">
        <f t="shared" si="2"/>
      </c>
      <c r="F20" s="30">
        <f t="shared" si="0"/>
      </c>
      <c r="G20" s="62">
        <f t="shared" si="4"/>
      </c>
      <c r="H20" s="62">
        <f t="shared" si="3"/>
      </c>
      <c r="I20" s="55"/>
      <c r="J20" s="55"/>
      <c r="K20" s="4"/>
      <c r="L20" s="4" t="str">
        <f>IF($F$5="M","Concrete Placement:  160mm","Concrete Placement:  6 inches")</f>
        <v>Concrete Placement:  6 inches</v>
      </c>
      <c r="M20" s="5">
        <f>IF($F$5="M",0.57,0.48)</f>
        <v>0.48</v>
      </c>
      <c r="O20" s="50"/>
      <c r="P20" s="5"/>
    </row>
    <row r="21" spans="1:16" ht="21" customHeight="1">
      <c r="A21" s="26"/>
      <c r="B21" s="31"/>
      <c r="C21" s="61">
        <f t="shared" si="1"/>
      </c>
      <c r="D21" s="16"/>
      <c r="E21" s="29">
        <f t="shared" si="2"/>
      </c>
      <c r="F21" s="30">
        <f t="shared" si="0"/>
      </c>
      <c r="G21" s="62">
        <f t="shared" si="4"/>
      </c>
      <c r="H21" s="62">
        <f t="shared" si="3"/>
      </c>
      <c r="I21" s="55"/>
      <c r="J21" s="55"/>
      <c r="K21" s="66"/>
      <c r="L21" s="4" t="str">
        <f>IF($F$5="M","Bonded Concrete Pavement (75mm)","Bonded Concrete Pavement (3 inches)")</f>
        <v>Bonded Concrete Pavement (3 inches)</v>
      </c>
      <c r="M21" s="5">
        <f>IF($F$5="M",0.36,0.3)</f>
        <v>0.3</v>
      </c>
      <c r="O21" s="50"/>
      <c r="P21" s="67"/>
    </row>
    <row r="22" spans="1:16" ht="21" customHeight="1">
      <c r="A22" s="26"/>
      <c r="B22" s="31"/>
      <c r="C22" s="61">
        <f t="shared" si="1"/>
      </c>
      <c r="D22" s="16"/>
      <c r="E22" s="29">
        <f t="shared" si="2"/>
      </c>
      <c r="F22" s="30">
        <f t="shared" si="0"/>
      </c>
      <c r="G22" s="62">
        <f t="shared" si="4"/>
      </c>
      <c r="H22" s="62">
        <f t="shared" si="3"/>
      </c>
      <c r="I22" s="55"/>
      <c r="J22" s="55"/>
      <c r="K22" s="4"/>
      <c r="L22" s="4" t="str">
        <f>IF($F$5="M","","Bonded Concrete Pavement (3.5 inches)")</f>
        <v>Bonded Concrete Pavement (3.5 inches)</v>
      </c>
      <c r="M22" s="5">
        <f>IF($F$5="M",0.39,0.33)</f>
        <v>0.33</v>
      </c>
      <c r="O22" s="50"/>
      <c r="P22" s="5"/>
    </row>
    <row r="23" spans="1:16" ht="22.5" customHeight="1">
      <c r="A23" s="26"/>
      <c r="B23" s="31"/>
      <c r="C23" s="61">
        <f t="shared" si="1"/>
      </c>
      <c r="D23" s="16"/>
      <c r="E23" s="29">
        <f t="shared" si="2"/>
      </c>
      <c r="F23" s="30">
        <f t="shared" si="0"/>
      </c>
      <c r="G23" s="62">
        <f t="shared" si="4"/>
      </c>
      <c r="H23" s="62">
        <f t="shared" si="3"/>
      </c>
      <c r="I23" s="55"/>
      <c r="J23" s="55"/>
      <c r="K23" s="66"/>
      <c r="L23" s="4" t="str">
        <f>IF($F$5="M","Bonded Concrete Pavement (100mm)","Bonded Concrete Pavement (4 inches)")</f>
        <v>Bonded Concrete Pavement (4 inches)</v>
      </c>
      <c r="M23" s="5">
        <f>IF($F$5="M",0.43,0.36)</f>
        <v>0.36</v>
      </c>
      <c r="O23" s="50"/>
      <c r="P23" s="67"/>
    </row>
    <row r="24" spans="1:16" ht="22.5" customHeight="1">
      <c r="A24" s="26"/>
      <c r="B24" s="31"/>
      <c r="C24" s="61">
        <f t="shared" si="1"/>
      </c>
      <c r="D24" s="16"/>
      <c r="E24" s="29">
        <f t="shared" si="2"/>
      </c>
      <c r="F24" s="30">
        <f t="shared" si="0"/>
      </c>
      <c r="G24" s="62">
        <f t="shared" si="4"/>
      </c>
      <c r="H24" s="62">
        <f t="shared" si="3"/>
      </c>
      <c r="I24" s="55"/>
      <c r="J24" s="55"/>
      <c r="K24" s="4"/>
      <c r="L24" s="4" t="str">
        <f>IF($F$5="M","","Bonded Concrete Pavement (4.5 inches)")</f>
        <v>Bonded Concrete Pavement (4.5 inches)</v>
      </c>
      <c r="M24" s="5">
        <f>IF($F$5="M",0.46,0.39)</f>
        <v>0.39</v>
      </c>
      <c r="O24" s="50"/>
      <c r="P24" s="5"/>
    </row>
    <row r="25" spans="1:16" ht="22.5" customHeight="1">
      <c r="A25" s="26"/>
      <c r="B25" s="31"/>
      <c r="C25" s="61">
        <f t="shared" si="1"/>
      </c>
      <c r="D25" s="16"/>
      <c r="E25" s="29">
        <f t="shared" si="2"/>
      </c>
      <c r="F25" s="30">
        <f t="shared" si="0"/>
      </c>
      <c r="G25" s="62">
        <f t="shared" si="4"/>
      </c>
      <c r="H25" s="62">
        <f t="shared" si="3"/>
      </c>
      <c r="I25" s="55"/>
      <c r="J25" s="55"/>
      <c r="K25" s="66"/>
      <c r="L25" s="4" t="str">
        <f>IF($F$5="M","Bonded Concrete Pavement (140mm)","Bonded Concrete Pavement (5 inches)")</f>
        <v>Bonded Concrete Pavement (5 inches)</v>
      </c>
      <c r="M25" s="5">
        <f>IF($F$5="M",0.5,0.42)</f>
        <v>0.42</v>
      </c>
      <c r="O25" s="50"/>
      <c r="P25" s="67"/>
    </row>
    <row r="26" spans="1:16" ht="22.5" customHeight="1">
      <c r="A26" s="26"/>
      <c r="B26" s="31"/>
      <c r="C26" s="61">
        <f t="shared" si="1"/>
      </c>
      <c r="D26" s="16"/>
      <c r="E26" s="29">
        <f t="shared" si="2"/>
      </c>
      <c r="F26" s="30">
        <f t="shared" si="0"/>
      </c>
      <c r="G26" s="62">
        <f t="shared" si="4"/>
      </c>
      <c r="H26" s="62">
        <f t="shared" si="3"/>
      </c>
      <c r="I26" s="55"/>
      <c r="J26" s="55"/>
      <c r="K26" s="4"/>
      <c r="L26" s="4" t="str">
        <f>IF($F$5="M","","Bonded Concrete Pavement (5.5 inches)")</f>
        <v>Bonded Concrete Pavement (5.5 inches)</v>
      </c>
      <c r="M26" s="5">
        <f>IF($F$5="M",0.53,0.45)</f>
        <v>0.45</v>
      </c>
      <c r="O26" s="50"/>
      <c r="P26" s="5"/>
    </row>
    <row r="27" spans="1:16" ht="22.5" customHeight="1">
      <c r="A27" s="26"/>
      <c r="B27" s="31"/>
      <c r="C27" s="61">
        <f t="shared" si="1"/>
      </c>
      <c r="D27" s="16"/>
      <c r="E27" s="29">
        <f t="shared" si="2"/>
      </c>
      <c r="F27" s="30">
        <f t="shared" si="0"/>
      </c>
      <c r="G27" s="62">
        <f t="shared" si="4"/>
      </c>
      <c r="H27" s="62">
        <f t="shared" si="3"/>
      </c>
      <c r="I27" s="55"/>
      <c r="J27" s="55"/>
      <c r="K27" s="66"/>
      <c r="L27" s="4" t="str">
        <f>IF($F$5="M","Bonded Concrete Pavement (160mm)","Bonded Concrete Pavement (6 inches)")</f>
        <v>Bonded Concrete Pavement (6 inches)</v>
      </c>
      <c r="M27" s="5">
        <f>IF($F$5="M",0.57,0.48)</f>
        <v>0.48</v>
      </c>
      <c r="O27" s="50"/>
      <c r="P27" s="67"/>
    </row>
    <row r="28" spans="1:16" ht="22.5" customHeight="1">
      <c r="A28" s="26"/>
      <c r="B28" s="31"/>
      <c r="C28" s="61">
        <f t="shared" si="1"/>
      </c>
      <c r="D28" s="16"/>
      <c r="E28" s="29">
        <f t="shared" si="2"/>
      </c>
      <c r="F28" s="30">
        <f t="shared" si="0"/>
      </c>
      <c r="G28" s="62">
        <f t="shared" si="4"/>
      </c>
      <c r="H28" s="62">
        <f t="shared" si="3"/>
      </c>
      <c r="I28" s="55"/>
      <c r="J28" s="55"/>
      <c r="K28" s="4"/>
      <c r="L28" s="4" t="str">
        <f>IF($F$5="M","Concrete Pavement 160 mm","Concrete Pavement 6 inches")</f>
        <v>Concrete Pavement 6 inches</v>
      </c>
      <c r="M28" s="5">
        <f>IF($F$5="M",0.58,0.48)</f>
        <v>0.48</v>
      </c>
      <c r="O28" s="50"/>
      <c r="P28" s="5"/>
    </row>
    <row r="29" spans="1:16" ht="22.5" customHeight="1">
      <c r="A29" s="26"/>
      <c r="B29" s="31"/>
      <c r="C29" s="61">
        <f t="shared" si="1"/>
      </c>
      <c r="D29" s="16"/>
      <c r="E29" s="29">
        <f t="shared" si="2"/>
      </c>
      <c r="F29" s="30">
        <f t="shared" si="0"/>
      </c>
      <c r="G29" s="62">
        <f t="shared" si="4"/>
      </c>
      <c r="H29" s="62">
        <f t="shared" si="3"/>
      </c>
      <c r="I29" s="55"/>
      <c r="J29" s="55"/>
      <c r="K29" s="4"/>
      <c r="L29" s="4" t="str">
        <f>IF($F$5="M","","Concrete Pavement 6.5 inches")</f>
        <v>Concrete Pavement 6.5 inches</v>
      </c>
      <c r="M29" s="5">
        <f>IF($F$5="M",0.61,0.51)</f>
        <v>0.51</v>
      </c>
      <c r="O29" s="50"/>
      <c r="P29" s="5"/>
    </row>
    <row r="30" spans="1:16" ht="22.5" customHeight="1">
      <c r="A30" s="26"/>
      <c r="B30" s="31"/>
      <c r="C30" s="61">
        <f t="shared" si="1"/>
      </c>
      <c r="D30" s="16"/>
      <c r="E30" s="29">
        <f t="shared" si="2"/>
      </c>
      <c r="F30" s="30">
        <f t="shared" si="0"/>
      </c>
      <c r="G30" s="62">
        <f t="shared" si="4"/>
      </c>
      <c r="H30" s="62">
        <f t="shared" si="3"/>
      </c>
      <c r="I30" s="55"/>
      <c r="J30" s="55"/>
      <c r="K30" s="4"/>
      <c r="L30" s="4" t="str">
        <f>IF($F$5="M","Concrete Pavement 180 mm","Concrete Pavement 7 inches")</f>
        <v>Concrete Pavement 7 inches</v>
      </c>
      <c r="M30" s="5">
        <f>IF($F$5="M",0.65,0.54)</f>
        <v>0.54</v>
      </c>
      <c r="O30" s="50"/>
      <c r="P30" s="5"/>
    </row>
    <row r="31" spans="1:16" ht="22.5" customHeight="1">
      <c r="A31" s="26"/>
      <c r="B31" s="31"/>
      <c r="C31" s="61">
        <f t="shared" si="1"/>
      </c>
      <c r="D31" s="16"/>
      <c r="E31" s="29">
        <f t="shared" si="2"/>
      </c>
      <c r="F31" s="30">
        <f t="shared" si="0"/>
      </c>
      <c r="G31" s="62">
        <f t="shared" si="4"/>
      </c>
      <c r="H31" s="62">
        <f t="shared" si="3"/>
      </c>
      <c r="I31" s="55"/>
      <c r="J31" s="55"/>
      <c r="K31" s="4"/>
      <c r="L31" s="4" t="str">
        <f>IF($F$5="M","Concrete Pavement 190 mm","Concrete Pavement 7.5 inches")</f>
        <v>Concrete Pavement 7.5 inches</v>
      </c>
      <c r="M31" s="5">
        <f>IF($F$5="M",0.69,0.57)</f>
        <v>0.57</v>
      </c>
      <c r="O31" s="50"/>
      <c r="P31" s="5"/>
    </row>
    <row r="32" spans="1:16" ht="22.5" customHeight="1">
      <c r="A32" s="26"/>
      <c r="B32" s="31"/>
      <c r="C32" s="61">
        <f t="shared" si="1"/>
      </c>
      <c r="D32" s="16"/>
      <c r="E32" s="29">
        <f t="shared" si="2"/>
      </c>
      <c r="F32" s="30">
        <f t="shared" si="0"/>
      </c>
      <c r="G32" s="62">
        <f t="shared" si="4"/>
      </c>
      <c r="H32" s="62">
        <f t="shared" si="3"/>
      </c>
      <c r="I32" s="55"/>
      <c r="J32" s="55"/>
      <c r="K32" s="4"/>
      <c r="L32" s="4" t="str">
        <f>IF($F$5="M","Concrete Pavement 200 mm","Concrete Pavement 8 inches")</f>
        <v>Concrete Pavement 8 inches</v>
      </c>
      <c r="M32" s="5">
        <f>IF($F$5="M",0.72,0.6)</f>
        <v>0.6</v>
      </c>
      <c r="O32" s="50"/>
      <c r="P32" s="5"/>
    </row>
    <row r="33" spans="1:16" ht="22.5" customHeight="1">
      <c r="A33" s="26"/>
      <c r="B33" s="31"/>
      <c r="C33" s="61">
        <f t="shared" si="1"/>
      </c>
      <c r="D33" s="16"/>
      <c r="E33" s="29">
        <f t="shared" si="2"/>
      </c>
      <c r="F33" s="30">
        <f t="shared" si="0"/>
      </c>
      <c r="G33" s="62">
        <f t="shared" si="4"/>
      </c>
      <c r="H33" s="62">
        <f t="shared" si="3"/>
      </c>
      <c r="I33" s="55"/>
      <c r="J33" s="55"/>
      <c r="K33" s="6"/>
      <c r="L33" s="4" t="str">
        <f>IF($F$5="M","Concrete Pavement 220 mm","Concrete Pavement 8 1/2 inches")</f>
        <v>Concrete Pavement 8 1/2 inches</v>
      </c>
      <c r="M33" s="5">
        <f>IF($F$5="M",0.76,0.63)</f>
        <v>0.63</v>
      </c>
      <c r="N33" s="6"/>
      <c r="O33" s="50"/>
      <c r="P33" s="50"/>
    </row>
    <row r="34" spans="1:16" ht="22.5" customHeight="1">
      <c r="A34" s="26"/>
      <c r="B34" s="31"/>
      <c r="C34" s="61">
        <f t="shared" si="1"/>
      </c>
      <c r="D34" s="16"/>
      <c r="E34" s="29">
        <f t="shared" si="2"/>
      </c>
      <c r="F34" s="30">
        <f t="shared" si="0"/>
      </c>
      <c r="G34" s="62">
        <f t="shared" si="4"/>
      </c>
      <c r="H34" s="62">
        <f t="shared" si="3"/>
      </c>
      <c r="I34" s="55"/>
      <c r="J34" s="55"/>
      <c r="K34" s="7"/>
      <c r="L34" s="4" t="str">
        <f>IF($F$5="M","Concrete Pavement 230 mm","Concrete Pavement 9 inches")</f>
        <v>Concrete Pavement 9 inches</v>
      </c>
      <c r="M34" s="5">
        <f>IF($F$5="M",0.79,0.66)</f>
        <v>0.66</v>
      </c>
      <c r="N34" s="6"/>
      <c r="O34" s="50"/>
      <c r="P34" s="50"/>
    </row>
    <row r="35" spans="1:16" ht="22.5" customHeight="1">
      <c r="A35" s="26"/>
      <c r="B35" s="31"/>
      <c r="C35" s="61">
        <f t="shared" si="1"/>
      </c>
      <c r="D35" s="16"/>
      <c r="E35" s="29">
        <f t="shared" si="2"/>
      </c>
      <c r="F35" s="30">
        <f t="shared" si="0"/>
      </c>
      <c r="G35" s="62">
        <f t="shared" si="4"/>
      </c>
      <c r="H35" s="62">
        <f t="shared" si="3"/>
      </c>
      <c r="I35" s="55"/>
      <c r="J35" s="55"/>
      <c r="K35" s="7"/>
      <c r="L35" s="4" t="str">
        <f>IF($F$5="M","Concrete Pavement 240 mm","Concrete Pavement 9 1/2 inches")</f>
        <v>Concrete Pavement 9 1/2 inches</v>
      </c>
      <c r="M35" s="5">
        <f>IF($F$5="M",0.82,0.69)</f>
        <v>0.69</v>
      </c>
      <c r="N35" s="6"/>
      <c r="O35" s="50"/>
      <c r="P35" s="50"/>
    </row>
    <row r="36" spans="1:16" ht="22.5" customHeight="1">
      <c r="A36" s="26"/>
      <c r="B36" s="31"/>
      <c r="C36" s="61">
        <f t="shared" si="1"/>
      </c>
      <c r="D36" s="16"/>
      <c r="E36" s="29">
        <f t="shared" si="2"/>
      </c>
      <c r="F36" s="30">
        <f t="shared" si="0"/>
      </c>
      <c r="G36" s="62">
        <f t="shared" si="4"/>
      </c>
      <c r="H36" s="62">
        <f t="shared" si="3"/>
      </c>
      <c r="I36" s="55"/>
      <c r="J36" s="55"/>
      <c r="K36" s="7"/>
      <c r="L36" s="4" t="str">
        <f>IF($F$5="M","Concrete Pavement 250 mm","Concrete Pavement 10 inches")</f>
        <v>Concrete Pavement 10 inches</v>
      </c>
      <c r="M36" s="5">
        <f>IF($F$5="M",0.86,0.72)</f>
        <v>0.72</v>
      </c>
      <c r="N36" s="6"/>
      <c r="O36" s="50"/>
      <c r="P36" s="50"/>
    </row>
    <row r="37" spans="1:16" ht="22.5" customHeight="1">
      <c r="A37" s="26"/>
      <c r="B37" s="31"/>
      <c r="C37" s="61">
        <f t="shared" si="1"/>
      </c>
      <c r="D37" s="16"/>
      <c r="E37" s="29">
        <f t="shared" si="2"/>
      </c>
      <c r="F37" s="30">
        <f t="shared" si="0"/>
      </c>
      <c r="G37" s="62">
        <f t="shared" si="4"/>
      </c>
      <c r="H37" s="62">
        <f t="shared" si="3"/>
      </c>
      <c r="I37" s="55"/>
      <c r="J37" s="55"/>
      <c r="K37" s="7"/>
      <c r="L37" s="4">
        <f>IF(F5="M","Concrete Pavement 260 mm","")</f>
      </c>
      <c r="M37" s="5">
        <v>0.86</v>
      </c>
      <c r="N37" s="6"/>
      <c r="O37" s="50"/>
      <c r="P37" s="50"/>
    </row>
    <row r="38" spans="1:16" ht="22.5" customHeight="1">
      <c r="A38" s="26"/>
      <c r="B38" s="31"/>
      <c r="C38" s="61">
        <f t="shared" si="1"/>
      </c>
      <c r="D38" s="16"/>
      <c r="E38" s="29">
        <f t="shared" si="2"/>
      </c>
      <c r="F38" s="30">
        <f t="shared" si="0"/>
      </c>
      <c r="G38" s="62">
        <f t="shared" si="4"/>
      </c>
      <c r="H38" s="62">
        <f t="shared" si="3"/>
      </c>
      <c r="I38" s="55"/>
      <c r="J38" s="55"/>
      <c r="K38" s="7"/>
      <c r="L38" s="4" t="str">
        <f>IF($F$5="M","Concrete Pavement 270 mm","Concrete Pavement 10 1/2 inches")</f>
        <v>Concrete Pavement 10 1/2 inches</v>
      </c>
      <c r="M38" s="5">
        <f>IF($F$5="M",0.89,0.75)</f>
        <v>0.75</v>
      </c>
      <c r="N38" s="6"/>
      <c r="O38" s="50"/>
      <c r="P38" s="50"/>
    </row>
    <row r="39" spans="1:16" ht="22.5" customHeight="1">
      <c r="A39" s="39"/>
      <c r="B39" s="40"/>
      <c r="C39" s="32"/>
      <c r="D39" s="32"/>
      <c r="E39" s="33"/>
      <c r="F39" s="34"/>
      <c r="G39" s="35"/>
      <c r="H39" s="36" t="s">
        <v>66</v>
      </c>
      <c r="I39" s="47"/>
      <c r="J39" s="55"/>
      <c r="K39" s="7"/>
      <c r="L39" s="4" t="str">
        <f>IF($F$5="M","Concrete Pavement 280 mm","Concrete Pavement 11 inches")</f>
        <v>Concrete Pavement 11 inches</v>
      </c>
      <c r="M39" s="5">
        <f>IF($F$5="M",0.93,0.78)</f>
        <v>0.78</v>
      </c>
      <c r="N39" s="6"/>
      <c r="O39" s="50"/>
      <c r="P39" s="50"/>
    </row>
    <row r="40" spans="9:14" ht="12.75">
      <c r="I40" s="41"/>
      <c r="J40" s="41"/>
      <c r="K40" s="7"/>
      <c r="L40" s="4" t="str">
        <f>IF($F$5="M","Concrete Pavement 290 mm","Concrete Pavement 11 1/2 inches")</f>
        <v>Concrete Pavement 11 1/2 inches</v>
      </c>
      <c r="M40" s="5">
        <f>IF($F$5="M",0.96,0.81)</f>
        <v>0.81</v>
      </c>
      <c r="N40" s="6"/>
    </row>
    <row r="41" spans="1:14" ht="12.75">
      <c r="A41" s="42"/>
      <c r="B41" s="43"/>
      <c r="C41" s="44"/>
      <c r="D41" s="44"/>
      <c r="E41" s="45"/>
      <c r="F41" s="46"/>
      <c r="G41" s="47"/>
      <c r="H41" s="47"/>
      <c r="I41" s="47"/>
      <c r="J41" s="47"/>
      <c r="K41" s="7"/>
      <c r="L41" s="4" t="str">
        <f>IF($F$5="M","Concrete Pavement 300 mm","Concrete Pavement 12 inches")</f>
        <v>Concrete Pavement 12 inches</v>
      </c>
      <c r="M41" s="5">
        <f>IF($F$5="M",0.99,0.83)</f>
        <v>0.83</v>
      </c>
      <c r="N41" s="6"/>
    </row>
    <row r="42" spans="1:14" ht="12.75">
      <c r="A42" s="42"/>
      <c r="B42" s="43"/>
      <c r="C42" s="44"/>
      <c r="D42" s="44"/>
      <c r="E42" s="45"/>
      <c r="F42" s="46"/>
      <c r="G42" s="47"/>
      <c r="H42" s="47"/>
      <c r="I42" s="47"/>
      <c r="J42" s="47"/>
      <c r="K42" s="7"/>
      <c r="L42" s="4" t="str">
        <f>IF($F$5="M","Concrete Pavement 320 mm","Concrete Pavement 12 1/2 inches")</f>
        <v>Concrete Pavement 12 1/2 inches</v>
      </c>
      <c r="M42" s="5">
        <f>IF($F$5="M",1.02,0.86)</f>
        <v>0.86</v>
      </c>
      <c r="N42" s="6"/>
    </row>
    <row r="43" spans="1:14" ht="12.75">
      <c r="A43" s="42"/>
      <c r="B43" s="43"/>
      <c r="C43" s="44"/>
      <c r="D43" s="44"/>
      <c r="E43" s="45"/>
      <c r="F43" s="46"/>
      <c r="G43" s="47"/>
      <c r="H43" s="47"/>
      <c r="I43" s="47"/>
      <c r="J43" s="47"/>
      <c r="K43" s="7"/>
      <c r="L43" s="4" t="str">
        <f>IF($F$5="M","Concrete Pavement 330 mm","Concrete Pavement 13 inches")</f>
        <v>Concrete Pavement 13 inches</v>
      </c>
      <c r="M43" s="5">
        <f>IF($F$5="M",1.06,0.89)</f>
        <v>0.89</v>
      </c>
      <c r="N43" s="6"/>
    </row>
    <row r="44" spans="1:14" ht="12.75">
      <c r="A44" s="42"/>
      <c r="B44" s="43"/>
      <c r="C44" s="44"/>
      <c r="D44" s="44"/>
      <c r="E44" s="45"/>
      <c r="F44" s="46"/>
      <c r="G44" s="47"/>
      <c r="H44" s="47"/>
      <c r="I44" s="47"/>
      <c r="J44" s="47"/>
      <c r="K44" s="7"/>
      <c r="L44" s="4" t="str">
        <f>IF($F$5="M","Concrete Pavement 340 mm","Concrete Pavement 13 1/2 inches")</f>
        <v>Concrete Pavement 13 1/2 inches</v>
      </c>
      <c r="M44" s="5">
        <f>IF($F$5="M",1.1,0.92)</f>
        <v>0.92</v>
      </c>
      <c r="N44" s="6"/>
    </row>
    <row r="45" spans="1:14" ht="12.75">
      <c r="A45" s="42"/>
      <c r="B45" s="43"/>
      <c r="C45" s="44"/>
      <c r="D45" s="44"/>
      <c r="E45" s="45"/>
      <c r="F45" s="46"/>
      <c r="G45" s="47"/>
      <c r="H45" s="47"/>
      <c r="I45" s="47"/>
      <c r="J45" s="47"/>
      <c r="K45" s="7"/>
      <c r="L45" s="4" t="str">
        <f>IF($F$5="M","Concrete Pavement 360 mm","Concrete Pavement 14 inches")</f>
        <v>Concrete Pavement 14 inches</v>
      </c>
      <c r="M45" s="5">
        <f>IF($F$5="M",1.14,0.95)</f>
        <v>0.95</v>
      </c>
      <c r="N45" s="6"/>
    </row>
    <row r="46" spans="1:14" ht="12.75">
      <c r="A46" s="48"/>
      <c r="B46" s="48"/>
      <c r="C46" s="48"/>
      <c r="D46" s="48"/>
      <c r="E46" s="49"/>
      <c r="F46" s="48"/>
      <c r="G46" s="48"/>
      <c r="H46" s="48"/>
      <c r="I46" s="48"/>
      <c r="J46" s="48"/>
      <c r="K46" s="7"/>
      <c r="L46" s="4" t="str">
        <f>IF($F$5="M","Concrete Pavement 370 mm","Concrete Pavement 14 1/2 inches")</f>
        <v>Concrete Pavement 14 1/2 inches</v>
      </c>
      <c r="M46" s="5">
        <f>IF($F$5="M",1.17,0.98)</f>
        <v>0.98</v>
      </c>
      <c r="N46" s="6"/>
    </row>
    <row r="47" spans="1:14" ht="12.75">
      <c r="A47" s="50"/>
      <c r="B47" s="50"/>
      <c r="C47" s="50"/>
      <c r="D47" s="50"/>
      <c r="E47" s="51"/>
      <c r="F47" s="50"/>
      <c r="G47" s="50"/>
      <c r="H47" s="50"/>
      <c r="I47" s="50"/>
      <c r="J47" s="50"/>
      <c r="K47" s="7"/>
      <c r="L47" s="4" t="s">
        <v>60</v>
      </c>
      <c r="M47" s="5">
        <f>IF($F$5="M",334.65,10.2)</f>
        <v>10.2</v>
      </c>
      <c r="N47" s="6"/>
    </row>
    <row r="48" spans="1:14" ht="12.75">
      <c r="A48" s="50"/>
      <c r="B48" s="50"/>
      <c r="C48" s="50"/>
      <c r="D48" s="50"/>
      <c r="E48" s="51"/>
      <c r="F48" s="50"/>
      <c r="G48" s="50"/>
      <c r="H48" s="50"/>
      <c r="I48" s="50"/>
      <c r="J48" s="50"/>
      <c r="K48" s="7"/>
      <c r="L48" s="4" t="s">
        <v>59</v>
      </c>
      <c r="M48" s="5">
        <f>IF($F$5="M",2.65,2.4)</f>
        <v>2.4</v>
      </c>
      <c r="N48" s="6"/>
    </row>
    <row r="49" spans="1:14" ht="12.75">
      <c r="A49" s="50"/>
      <c r="B49" s="50"/>
      <c r="C49" s="50"/>
      <c r="D49" s="50"/>
      <c r="E49" s="51"/>
      <c r="F49" s="50"/>
      <c r="G49" s="50"/>
      <c r="H49" s="50"/>
      <c r="I49" s="50"/>
      <c r="J49" s="50"/>
      <c r="K49" s="7"/>
      <c r="L49" s="4" t="s">
        <v>64</v>
      </c>
      <c r="M49" s="5">
        <f>IF($F$5="M",2.65,2.4)</f>
        <v>2.4</v>
      </c>
      <c r="N49" s="6"/>
    </row>
    <row r="50" spans="1:14" ht="12.75">
      <c r="A50" s="50"/>
      <c r="B50" s="50"/>
      <c r="C50" s="50"/>
      <c r="D50" s="50"/>
      <c r="E50" s="51"/>
      <c r="F50" s="50"/>
      <c r="G50" s="50"/>
      <c r="H50" s="50"/>
      <c r="I50" s="50"/>
      <c r="J50" s="50"/>
      <c r="K50" s="7"/>
      <c r="L50" s="4" t="s">
        <v>65</v>
      </c>
      <c r="M50" s="5">
        <f>IF($F$5="M",2.65,2.4)</f>
        <v>2.4</v>
      </c>
      <c r="N50" s="6"/>
    </row>
    <row r="51" spans="11:13" ht="12.75">
      <c r="K51" s="7"/>
      <c r="L51" s="4"/>
      <c r="M51" s="5"/>
    </row>
    <row r="52" spans="11:13" ht="12.75">
      <c r="K52" s="7"/>
      <c r="L52" s="6"/>
      <c r="M52" s="6"/>
    </row>
    <row r="53" spans="11:13" ht="12.75">
      <c r="K53" s="7"/>
      <c r="L53" s="37"/>
      <c r="M53" s="37"/>
    </row>
    <row r="54" spans="11:13" ht="12.75">
      <c r="K54" s="7"/>
      <c r="L54" s="37"/>
      <c r="M54" s="37"/>
    </row>
    <row r="55" spans="12:13" ht="12.75">
      <c r="L55" s="37"/>
      <c r="M55" s="37"/>
    </row>
    <row r="56" spans="12:13" ht="12.75">
      <c r="L56" s="37"/>
      <c r="M56" s="37"/>
    </row>
    <row r="57" spans="12:13" ht="12.75">
      <c r="L57" s="37"/>
      <c r="M57" s="37"/>
    </row>
    <row r="58" spans="12:13" ht="12.75">
      <c r="L58" s="37"/>
      <c r="M58" s="37"/>
    </row>
    <row r="59" spans="12:13" ht="12.75">
      <c r="L59" s="37"/>
      <c r="M59" s="37"/>
    </row>
    <row r="60" spans="12:13" ht="12.75">
      <c r="L60" s="37"/>
      <c r="M60" s="37"/>
    </row>
    <row r="61" spans="12:13" ht="12.75">
      <c r="L61" s="37"/>
      <c r="M61" s="37"/>
    </row>
    <row r="62" spans="12:13" ht="12.75">
      <c r="L62" s="37"/>
      <c r="M62" s="37"/>
    </row>
    <row r="63" spans="12:13" ht="12.75">
      <c r="L63" s="37"/>
      <c r="M63" s="37"/>
    </row>
    <row r="64" spans="12:13" ht="12.75">
      <c r="L64" s="37"/>
      <c r="M64" s="37"/>
    </row>
    <row r="65" spans="12:13" ht="12.75">
      <c r="L65" s="37"/>
      <c r="M65" s="37"/>
    </row>
    <row r="66" spans="12:13" ht="12.75">
      <c r="L66" s="37"/>
      <c r="M66" s="37"/>
    </row>
    <row r="67" spans="12:13" ht="12.75">
      <c r="L67" s="37"/>
      <c r="M67" s="37"/>
    </row>
    <row r="68" spans="12:13" ht="12.75">
      <c r="L68" s="37"/>
      <c r="M68" s="37"/>
    </row>
    <row r="69" spans="12:13" ht="12.75">
      <c r="L69" s="37"/>
      <c r="M69" s="37"/>
    </row>
    <row r="70" ht="12.75">
      <c r="L70" s="37"/>
    </row>
    <row r="71" ht="12.75">
      <c r="L71" s="37"/>
    </row>
    <row r="72" ht="12.75">
      <c r="L72" s="37"/>
    </row>
  </sheetData>
  <sheetProtection password="BF11" sheet="1" objects="1" scenarios="1" selectLockedCells="1"/>
  <mergeCells count="4">
    <mergeCell ref="F3:H3"/>
    <mergeCell ref="F4:H4"/>
    <mergeCell ref="D5:E5"/>
    <mergeCell ref="B6:E6"/>
  </mergeCells>
  <dataValidations count="1">
    <dataValidation type="list" allowBlank="1" showInputMessage="1" showErrorMessage="1" promptTitle="Data Entry Restriction!" prompt="Please select one item from this drop down box. No other values will be accepted." errorTitle="Wrong data!" error="Please enter a value from the drop down list." sqref="B6:E6">
      <formula1>$L$7:$L$50</formula1>
    </dataValidation>
  </dataValidations>
  <printOptions/>
  <pageMargins left="1.06" right="0.5" top="0.5" bottom="0" header="0.5" footer="0"/>
  <pageSetup blackAndWhite="1" fitToHeight="1" fitToWidth="1" horizontalDpi="600" verticalDpi="600" orientation="portrait" scale="9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"/>
  <sheetViews>
    <sheetView showGridLines="0" showRowColHeaders="0" zoomScalePageLayoutView="0" workbookViewId="0" topLeftCell="A1">
      <selection activeCell="B6" sqref="B6:E6"/>
    </sheetView>
  </sheetViews>
  <sheetFormatPr defaultColWidth="9.140625" defaultRowHeight="12.75"/>
  <cols>
    <col min="1" max="1" width="13.00390625" style="0" customWidth="1"/>
    <col min="2" max="2" width="13.28125" style="0" customWidth="1"/>
    <col min="3" max="3" width="9.00390625" style="0" customWidth="1"/>
    <col min="4" max="4" width="9.28125" style="0" customWidth="1"/>
    <col min="5" max="5" width="11.00390625" style="1" customWidth="1"/>
    <col min="6" max="6" width="10.57421875" style="0" customWidth="1"/>
    <col min="7" max="8" width="16.00390625" style="0" bestFit="1" customWidth="1"/>
    <col min="11" max="11" width="3.57421875" style="0" customWidth="1"/>
    <col min="12" max="12" width="47.00390625" style="0" hidden="1" customWidth="1"/>
    <col min="13" max="13" width="8.28125" style="0" hidden="1" customWidth="1"/>
    <col min="14" max="14" width="7.140625" style="0" customWidth="1"/>
    <col min="15" max="16" width="9.140625" style="0" customWidth="1"/>
  </cols>
  <sheetData>
    <row r="1" spans="1:16" ht="15">
      <c r="A1" s="8"/>
      <c r="B1" s="8"/>
      <c r="C1" s="9" t="s">
        <v>67</v>
      </c>
      <c r="D1" s="8"/>
      <c r="E1" s="10"/>
      <c r="F1" s="8"/>
      <c r="G1" s="8"/>
      <c r="H1" s="8"/>
      <c r="I1" s="52"/>
      <c r="J1" s="52"/>
      <c r="K1" s="50"/>
      <c r="L1" s="50"/>
      <c r="M1" s="50"/>
      <c r="N1" s="50"/>
      <c r="O1" s="50"/>
      <c r="P1" s="50"/>
    </row>
    <row r="2" spans="1:16" ht="17.25" customHeight="1">
      <c r="A2" s="8"/>
      <c r="B2" s="8"/>
      <c r="C2" s="8"/>
      <c r="D2" s="8"/>
      <c r="E2" s="10"/>
      <c r="F2" s="8"/>
      <c r="G2" s="8"/>
      <c r="H2" s="8"/>
      <c r="I2" s="52"/>
      <c r="J2" s="52"/>
      <c r="K2" s="50"/>
      <c r="L2" s="50"/>
      <c r="M2" s="50"/>
      <c r="N2" s="50"/>
      <c r="O2" s="50"/>
      <c r="P2" s="50"/>
    </row>
    <row r="3" spans="1:16" ht="21" customHeight="1">
      <c r="A3" s="11"/>
      <c r="B3" s="12"/>
      <c r="C3" s="11"/>
      <c r="D3" s="11"/>
      <c r="E3" s="63" t="s">
        <v>42</v>
      </c>
      <c r="F3" s="97">
        <f>IF('Item 1'!F3:H3="","",'Item 1'!F3:H3)</f>
      </c>
      <c r="G3" s="97"/>
      <c r="H3" s="97"/>
      <c r="I3" s="53"/>
      <c r="J3" s="53"/>
      <c r="K3" s="50"/>
      <c r="L3" s="50"/>
      <c r="M3" s="50"/>
      <c r="N3" s="50"/>
      <c r="O3" s="50"/>
      <c r="P3" s="50"/>
    </row>
    <row r="4" spans="1:16" ht="21" customHeight="1">
      <c r="A4" s="13" t="s">
        <v>43</v>
      </c>
      <c r="B4" s="82">
        <f>IF('Item 1'!B4="","",'Item 1'!B4)</f>
      </c>
      <c r="C4" s="38"/>
      <c r="D4" s="11"/>
      <c r="E4" s="64" t="s">
        <v>41</v>
      </c>
      <c r="F4" s="98">
        <f>IF('Item 1'!F4:H4="","",'Item 1'!F4:H4)</f>
      </c>
      <c r="G4" s="99"/>
      <c r="H4" s="100"/>
      <c r="I4" s="53"/>
      <c r="J4" s="53"/>
      <c r="K4" s="50"/>
      <c r="L4" s="57"/>
      <c r="M4" s="50"/>
      <c r="N4" s="50"/>
      <c r="O4" s="50"/>
      <c r="P4" s="50"/>
    </row>
    <row r="5" spans="1:16" ht="21" customHeight="1">
      <c r="A5" s="79" t="s">
        <v>44</v>
      </c>
      <c r="B5" s="15"/>
      <c r="C5" s="81">
        <f>IF('Item 1'!C5="","",'Item 1'!C5)</f>
      </c>
      <c r="D5" s="95" t="s">
        <v>46</v>
      </c>
      <c r="E5" s="96"/>
      <c r="F5" s="80">
        <f>IF('Item 1'!F5="","",'Item 1'!F5)</f>
      </c>
      <c r="G5" s="65" t="s">
        <v>45</v>
      </c>
      <c r="H5" s="60">
        <f>IF(B6="","",VLOOKUP(B6,L7:M50,2,FALSE))</f>
      </c>
      <c r="I5" s="53"/>
      <c r="J5" s="53"/>
      <c r="K5" s="4"/>
      <c r="L5" s="56"/>
      <c r="N5" s="4"/>
      <c r="O5" s="50"/>
      <c r="P5" s="50"/>
    </row>
    <row r="6" spans="1:16" ht="21" customHeight="1">
      <c r="A6" s="79" t="s">
        <v>20</v>
      </c>
      <c r="B6" s="88"/>
      <c r="C6" s="89"/>
      <c r="D6" s="89"/>
      <c r="E6" s="90"/>
      <c r="F6" s="58"/>
      <c r="H6" s="59"/>
      <c r="I6" s="53"/>
      <c r="J6" s="53"/>
      <c r="K6" s="4"/>
      <c r="L6" s="4" t="s">
        <v>21</v>
      </c>
      <c r="M6" s="4" t="s">
        <v>37</v>
      </c>
      <c r="O6" s="50"/>
      <c r="P6" s="4"/>
    </row>
    <row r="7" spans="1:16" ht="12.75">
      <c r="A7" s="11"/>
      <c r="B7" s="11"/>
      <c r="C7" s="17"/>
      <c r="D7" s="11"/>
      <c r="E7" s="7"/>
      <c r="F7" s="11"/>
      <c r="G7" s="11"/>
      <c r="H7" s="11"/>
      <c r="I7" s="53"/>
      <c r="J7" s="53"/>
      <c r="K7" s="4"/>
      <c r="L7" s="4" t="s">
        <v>22</v>
      </c>
      <c r="M7" s="5">
        <f>IF($F$5="M",0.33,0.25)</f>
        <v>0.25</v>
      </c>
      <c r="O7" s="50"/>
      <c r="P7" s="5"/>
    </row>
    <row r="8" spans="1:16" ht="12.75">
      <c r="A8" s="18" t="s">
        <v>0</v>
      </c>
      <c r="B8" s="18" t="s">
        <v>18</v>
      </c>
      <c r="C8" s="19" t="s">
        <v>2</v>
      </c>
      <c r="D8" s="18" t="s">
        <v>5</v>
      </c>
      <c r="E8" s="20" t="s">
        <v>8</v>
      </c>
      <c r="F8" s="18" t="s">
        <v>10</v>
      </c>
      <c r="G8" s="18" t="s">
        <v>13</v>
      </c>
      <c r="H8" s="18" t="s">
        <v>8</v>
      </c>
      <c r="I8" s="54"/>
      <c r="J8" s="54"/>
      <c r="K8" s="4"/>
      <c r="L8" s="4" t="s">
        <v>61</v>
      </c>
      <c r="M8" s="5">
        <f>IF($F$5="M",0.33,0.25)</f>
        <v>0.25</v>
      </c>
      <c r="O8" s="50"/>
      <c r="P8" s="5"/>
    </row>
    <row r="9" spans="1:16" ht="12.75">
      <c r="A9" s="21"/>
      <c r="B9" s="22" t="s">
        <v>16</v>
      </c>
      <c r="C9" s="22" t="s">
        <v>3</v>
      </c>
      <c r="D9" s="22" t="s">
        <v>6</v>
      </c>
      <c r="E9" s="23"/>
      <c r="F9" s="22" t="s">
        <v>11</v>
      </c>
      <c r="G9" s="22" t="s">
        <v>14</v>
      </c>
      <c r="H9" s="22" t="s">
        <v>9</v>
      </c>
      <c r="I9" s="54"/>
      <c r="J9" s="54"/>
      <c r="K9" s="4"/>
      <c r="L9" s="4" t="s">
        <v>19</v>
      </c>
      <c r="M9" s="5">
        <f>IF($F$5="M",0.43,0.33)</f>
        <v>0.33</v>
      </c>
      <c r="O9" s="50"/>
      <c r="P9" s="5"/>
    </row>
    <row r="10" spans="1:16" ht="12.75">
      <c r="A10" s="24" t="s">
        <v>1</v>
      </c>
      <c r="B10" s="24" t="s">
        <v>17</v>
      </c>
      <c r="C10" s="24" t="s">
        <v>4</v>
      </c>
      <c r="D10" s="24" t="s">
        <v>7</v>
      </c>
      <c r="E10" s="25" t="s">
        <v>9</v>
      </c>
      <c r="F10" s="24" t="s">
        <v>12</v>
      </c>
      <c r="G10" s="24" t="s">
        <v>15</v>
      </c>
      <c r="H10" s="24" t="s">
        <v>15</v>
      </c>
      <c r="I10" s="54"/>
      <c r="J10" s="54"/>
      <c r="K10" s="4"/>
      <c r="L10" s="4" t="s">
        <v>62</v>
      </c>
      <c r="M10" s="5">
        <f>IF($F$5="M",0.43,0.33)</f>
        <v>0.33</v>
      </c>
      <c r="O10" s="50"/>
      <c r="P10" s="5"/>
    </row>
    <row r="11" spans="1:16" ht="22.5" customHeight="1">
      <c r="A11" s="26"/>
      <c r="B11" s="27"/>
      <c r="C11" s="61">
        <f>IF(H5="","",ABS($H$5))</f>
      </c>
      <c r="D11" s="28"/>
      <c r="E11" s="29">
        <f>IF(D11="","",+D11)</f>
      </c>
      <c r="F11" s="30">
        <f>+IF(B11="","",(B11-$C$5))</f>
      </c>
      <c r="G11" s="62">
        <f>IF(C11="","",IF(F11="","",+C11*D11*F11))</f>
      </c>
      <c r="H11" s="62">
        <f>+G11</f>
      </c>
      <c r="I11" s="54"/>
      <c r="J11" s="54"/>
      <c r="K11" s="4"/>
      <c r="L11" s="4" t="s">
        <v>24</v>
      </c>
      <c r="M11" s="5">
        <f>IF($F$5="M",0.38,0.29)</f>
        <v>0.29</v>
      </c>
      <c r="O11" s="50"/>
      <c r="P11" s="5"/>
    </row>
    <row r="12" spans="1:16" ht="22.5" customHeight="1">
      <c r="A12" s="26"/>
      <c r="B12" s="31"/>
      <c r="C12" s="61">
        <f>IF(B12="","",ABS($H$5))</f>
      </c>
      <c r="D12" s="16"/>
      <c r="E12" s="29">
        <f>IF(D12="","",+D12+E11)</f>
      </c>
      <c r="F12" s="30">
        <f aca="true" t="shared" si="0" ref="F12:F38">+IF(B12="","",(B12-$C$5))</f>
      </c>
      <c r="G12" s="62">
        <f>IF(C12="","",IF(F12="","",+C12*D12*F12))</f>
      </c>
      <c r="H12" s="62">
        <f>IF(G12="","",+H11+G12)</f>
      </c>
      <c r="I12" s="55"/>
      <c r="J12" s="55"/>
      <c r="K12" s="4"/>
      <c r="L12" s="4" t="s">
        <v>25</v>
      </c>
      <c r="M12" s="5">
        <f>IF($F$5="M",0.39,0.3)</f>
        <v>0.3</v>
      </c>
      <c r="O12" s="50"/>
      <c r="P12" s="5"/>
    </row>
    <row r="13" spans="1:16" ht="22.5" customHeight="1">
      <c r="A13" s="26"/>
      <c r="B13" s="31"/>
      <c r="C13" s="61">
        <f aca="true" t="shared" si="1" ref="C13:C38">IF(B13="","",ABS($H$5))</f>
      </c>
      <c r="D13" s="16"/>
      <c r="E13" s="29">
        <f aca="true" t="shared" si="2" ref="E13:E38">IF(D13="","",+D13+E12)</f>
      </c>
      <c r="F13" s="30">
        <f t="shared" si="0"/>
      </c>
      <c r="G13" s="62">
        <f>IF(C13="","",IF(F13="","",+C13*D13*F13))</f>
      </c>
      <c r="H13" s="62">
        <f aca="true" t="shared" si="3" ref="H13:H38">IF(G13="","",+H12+G13)</f>
      </c>
      <c r="I13" s="55"/>
      <c r="J13" s="55"/>
      <c r="K13" s="4"/>
      <c r="L13" s="4" t="s">
        <v>63</v>
      </c>
      <c r="M13" s="5">
        <f>IF($F$5="M",0.36,0.3)</f>
        <v>0.3</v>
      </c>
      <c r="O13" s="50"/>
      <c r="P13" s="5"/>
    </row>
    <row r="14" spans="1:16" ht="22.5" customHeight="1">
      <c r="A14" s="26"/>
      <c r="B14" s="31"/>
      <c r="C14" s="61">
        <f t="shared" si="1"/>
      </c>
      <c r="D14" s="16"/>
      <c r="E14" s="29">
        <f t="shared" si="2"/>
      </c>
      <c r="F14" s="30">
        <f t="shared" si="0"/>
      </c>
      <c r="G14" s="62">
        <f>IF(C14="","",IF(F14="","",+C14*D14*F14))</f>
      </c>
      <c r="H14" s="62">
        <f t="shared" si="3"/>
      </c>
      <c r="I14" s="55"/>
      <c r="J14" s="55"/>
      <c r="K14" s="66"/>
      <c r="L14" s="4" t="str">
        <f>IF($F$5="M","Concrete Placement:  75mm","Concrete Placement:  3 inches")</f>
        <v>Concrete Placement:  3 inches</v>
      </c>
      <c r="M14" s="5">
        <f>IF($F$5="M",0.36,0.3)</f>
        <v>0.3</v>
      </c>
      <c r="O14" s="50"/>
      <c r="P14" s="67"/>
    </row>
    <row r="15" spans="1:16" ht="22.5" customHeight="1">
      <c r="A15" s="26"/>
      <c r="B15" s="31"/>
      <c r="C15" s="61">
        <f t="shared" si="1"/>
      </c>
      <c r="D15" s="16"/>
      <c r="E15" s="29">
        <f t="shared" si="2"/>
      </c>
      <c r="F15" s="30">
        <f t="shared" si="0"/>
      </c>
      <c r="G15" s="62">
        <f>IF(C15="","",IF(F15="","",+C15*D15*F15))</f>
      </c>
      <c r="H15" s="62">
        <f t="shared" si="3"/>
      </c>
      <c r="I15" s="55"/>
      <c r="J15" s="55"/>
      <c r="K15" s="66"/>
      <c r="L15" s="4" t="str">
        <f>IF($F$5="M","","Concrete Placement:  3.5 inches")</f>
        <v>Concrete Placement:  3.5 inches</v>
      </c>
      <c r="M15" s="5">
        <f>IF($F$5="M",0.39,0.33)</f>
        <v>0.33</v>
      </c>
      <c r="O15" s="50"/>
      <c r="P15" s="67"/>
    </row>
    <row r="16" spans="1:16" ht="22.5" customHeight="1">
      <c r="A16" s="26"/>
      <c r="B16" s="31"/>
      <c r="C16" s="61">
        <f t="shared" si="1"/>
      </c>
      <c r="D16" s="16"/>
      <c r="E16" s="29">
        <f t="shared" si="2"/>
      </c>
      <c r="F16" s="30">
        <f t="shared" si="0"/>
      </c>
      <c r="G16" s="62">
        <f aca="true" t="shared" si="4" ref="G16:G38">IF(F16="","",+C16*D16*F16)</f>
      </c>
      <c r="H16" s="62">
        <f t="shared" si="3"/>
      </c>
      <c r="I16" s="55"/>
      <c r="J16" s="55"/>
      <c r="K16" s="4"/>
      <c r="L16" s="4" t="str">
        <f>IF($F$5="M","Concrete Placement:  100mm","Concrete Placement:  4 inches")</f>
        <v>Concrete Placement:  4 inches</v>
      </c>
      <c r="M16" s="5">
        <f>IF($F$5="M",0.43,0.36)</f>
        <v>0.36</v>
      </c>
      <c r="O16" s="50"/>
      <c r="P16" s="5"/>
    </row>
    <row r="17" spans="1:16" ht="22.5" customHeight="1">
      <c r="A17" s="26"/>
      <c r="B17" s="31"/>
      <c r="C17" s="61">
        <f t="shared" si="1"/>
      </c>
      <c r="D17" s="16"/>
      <c r="E17" s="29">
        <f t="shared" si="2"/>
      </c>
      <c r="F17" s="30">
        <f t="shared" si="0"/>
      </c>
      <c r="G17" s="62">
        <f t="shared" si="4"/>
      </c>
      <c r="H17" s="62">
        <f t="shared" si="3"/>
      </c>
      <c r="I17" s="55"/>
      <c r="J17" s="55"/>
      <c r="K17" s="66"/>
      <c r="L17" s="4" t="str">
        <f>IF($F$5="M","","Concrete Placement:  4.5 inches")</f>
        <v>Concrete Placement:  4.5 inches</v>
      </c>
      <c r="M17" s="5">
        <f>IF($F$5="M",0.46,0.39)</f>
        <v>0.39</v>
      </c>
      <c r="O17" s="50"/>
      <c r="P17" s="67"/>
    </row>
    <row r="18" spans="1:16" ht="22.5" customHeight="1">
      <c r="A18" s="26"/>
      <c r="B18" s="31"/>
      <c r="C18" s="61">
        <f t="shared" si="1"/>
      </c>
      <c r="D18" s="16"/>
      <c r="E18" s="29">
        <f t="shared" si="2"/>
      </c>
      <c r="F18" s="30">
        <f t="shared" si="0"/>
      </c>
      <c r="G18" s="62">
        <f t="shared" si="4"/>
      </c>
      <c r="H18" s="62">
        <f t="shared" si="3"/>
      </c>
      <c r="I18" s="55"/>
      <c r="J18" s="55"/>
      <c r="K18" s="4"/>
      <c r="L18" s="4" t="str">
        <f>IF($F$5="M","Concrete Placement:  140mm","Concrete Placement:  5 inches")</f>
        <v>Concrete Placement:  5 inches</v>
      </c>
      <c r="M18" s="5">
        <f>IF($F$5="M",0.5,0.42)</f>
        <v>0.42</v>
      </c>
      <c r="O18" s="50"/>
      <c r="P18" s="5"/>
    </row>
    <row r="19" spans="1:16" ht="22.5" customHeight="1">
      <c r="A19" s="26"/>
      <c r="B19" s="31"/>
      <c r="C19" s="61">
        <f t="shared" si="1"/>
      </c>
      <c r="D19" s="16"/>
      <c r="E19" s="29">
        <f t="shared" si="2"/>
      </c>
      <c r="F19" s="30">
        <f t="shared" si="0"/>
      </c>
      <c r="G19" s="62">
        <f t="shared" si="4"/>
      </c>
      <c r="H19" s="62">
        <f t="shared" si="3"/>
      </c>
      <c r="I19" s="55"/>
      <c r="J19" s="55"/>
      <c r="K19" s="66"/>
      <c r="L19" s="4" t="str">
        <f>IF($F$5="M","","Concrete Placement:  5.5 inches")</f>
        <v>Concrete Placement:  5.5 inches</v>
      </c>
      <c r="M19" s="5">
        <f>IF($F$5="M",0.53,0.45)</f>
        <v>0.45</v>
      </c>
      <c r="O19" s="50"/>
      <c r="P19" s="67"/>
    </row>
    <row r="20" spans="1:16" ht="21" customHeight="1">
      <c r="A20" s="26"/>
      <c r="B20" s="31"/>
      <c r="C20" s="61">
        <f t="shared" si="1"/>
      </c>
      <c r="D20" s="16"/>
      <c r="E20" s="29">
        <f t="shared" si="2"/>
      </c>
      <c r="F20" s="30">
        <f t="shared" si="0"/>
      </c>
      <c r="G20" s="62">
        <f t="shared" si="4"/>
      </c>
      <c r="H20" s="62">
        <f t="shared" si="3"/>
      </c>
      <c r="I20" s="55"/>
      <c r="J20" s="55"/>
      <c r="K20" s="4"/>
      <c r="L20" s="4" t="str">
        <f>IF($F$5="M","Concrete Placement:  160mm","Concrete Placement:  6 inches")</f>
        <v>Concrete Placement:  6 inches</v>
      </c>
      <c r="M20" s="5">
        <f>IF($F$5="M",0.57,0.48)</f>
        <v>0.48</v>
      </c>
      <c r="O20" s="50"/>
      <c r="P20" s="5"/>
    </row>
    <row r="21" spans="1:16" ht="21" customHeight="1">
      <c r="A21" s="26"/>
      <c r="B21" s="31"/>
      <c r="C21" s="61">
        <f t="shared" si="1"/>
      </c>
      <c r="D21" s="16"/>
      <c r="E21" s="29">
        <f t="shared" si="2"/>
      </c>
      <c r="F21" s="30">
        <f t="shared" si="0"/>
      </c>
      <c r="G21" s="62">
        <f t="shared" si="4"/>
      </c>
      <c r="H21" s="62">
        <f t="shared" si="3"/>
      </c>
      <c r="I21" s="55"/>
      <c r="J21" s="55"/>
      <c r="K21" s="66"/>
      <c r="L21" s="4" t="str">
        <f>IF($F$5="M","Bonded Concrete Pavement (75mm)","Bonded Concrete Pavement (3 inches)")</f>
        <v>Bonded Concrete Pavement (3 inches)</v>
      </c>
      <c r="M21" s="5">
        <f>IF($F$5="M",0.36,0.3)</f>
        <v>0.3</v>
      </c>
      <c r="O21" s="50"/>
      <c r="P21" s="67"/>
    </row>
    <row r="22" spans="1:16" ht="21" customHeight="1">
      <c r="A22" s="26"/>
      <c r="B22" s="31"/>
      <c r="C22" s="61">
        <f t="shared" si="1"/>
      </c>
      <c r="D22" s="16"/>
      <c r="E22" s="29">
        <f t="shared" si="2"/>
      </c>
      <c r="F22" s="30">
        <f t="shared" si="0"/>
      </c>
      <c r="G22" s="62">
        <f t="shared" si="4"/>
      </c>
      <c r="H22" s="62">
        <f t="shared" si="3"/>
      </c>
      <c r="I22" s="55"/>
      <c r="J22" s="55"/>
      <c r="K22" s="4"/>
      <c r="L22" s="4" t="str">
        <f>IF($F$5="M","","Bonded Concrete Pavement (3.5 inches)")</f>
        <v>Bonded Concrete Pavement (3.5 inches)</v>
      </c>
      <c r="M22" s="5">
        <f>IF($F$5="M",0.39,0.33)</f>
        <v>0.33</v>
      </c>
      <c r="O22" s="50"/>
      <c r="P22" s="5"/>
    </row>
    <row r="23" spans="1:16" ht="22.5" customHeight="1">
      <c r="A23" s="26"/>
      <c r="B23" s="31"/>
      <c r="C23" s="61">
        <f t="shared" si="1"/>
      </c>
      <c r="D23" s="16"/>
      <c r="E23" s="29">
        <f t="shared" si="2"/>
      </c>
      <c r="F23" s="30">
        <f t="shared" si="0"/>
      </c>
      <c r="G23" s="62">
        <f t="shared" si="4"/>
      </c>
      <c r="H23" s="62">
        <f t="shared" si="3"/>
      </c>
      <c r="I23" s="55"/>
      <c r="J23" s="55"/>
      <c r="K23" s="66"/>
      <c r="L23" s="4" t="str">
        <f>IF($F$5="M","Bonded Concrete Pavement (100mm)","Bonded Concrete Pavement (4 inches)")</f>
        <v>Bonded Concrete Pavement (4 inches)</v>
      </c>
      <c r="M23" s="5">
        <f>IF($F$5="M",0.43,0.36)</f>
        <v>0.36</v>
      </c>
      <c r="O23" s="50"/>
      <c r="P23" s="67"/>
    </row>
    <row r="24" spans="1:16" ht="22.5" customHeight="1">
      <c r="A24" s="26"/>
      <c r="B24" s="31"/>
      <c r="C24" s="61">
        <f t="shared" si="1"/>
      </c>
      <c r="D24" s="16"/>
      <c r="E24" s="29">
        <f t="shared" si="2"/>
      </c>
      <c r="F24" s="30">
        <f t="shared" si="0"/>
      </c>
      <c r="G24" s="62">
        <f t="shared" si="4"/>
      </c>
      <c r="H24" s="62">
        <f t="shared" si="3"/>
      </c>
      <c r="I24" s="55"/>
      <c r="J24" s="55"/>
      <c r="K24" s="4"/>
      <c r="L24" s="4" t="str">
        <f>IF($F$5="M","","Bonded Concrete Pavement (4.5 inches)")</f>
        <v>Bonded Concrete Pavement (4.5 inches)</v>
      </c>
      <c r="M24" s="5">
        <f>IF($F$5="M",0.46,0.39)</f>
        <v>0.39</v>
      </c>
      <c r="O24" s="50"/>
      <c r="P24" s="5"/>
    </row>
    <row r="25" spans="1:16" ht="22.5" customHeight="1">
      <c r="A25" s="26"/>
      <c r="B25" s="31"/>
      <c r="C25" s="61">
        <f t="shared" si="1"/>
      </c>
      <c r="D25" s="16"/>
      <c r="E25" s="29">
        <f t="shared" si="2"/>
      </c>
      <c r="F25" s="30">
        <f t="shared" si="0"/>
      </c>
      <c r="G25" s="62">
        <f t="shared" si="4"/>
      </c>
      <c r="H25" s="62">
        <f t="shared" si="3"/>
      </c>
      <c r="I25" s="55"/>
      <c r="J25" s="55"/>
      <c r="K25" s="66"/>
      <c r="L25" s="4" t="str">
        <f>IF($F$5="M","Bonded Concrete Pavement (140mm)","Bonded Concrete Pavement (5 inches)")</f>
        <v>Bonded Concrete Pavement (5 inches)</v>
      </c>
      <c r="M25" s="5">
        <f>IF($F$5="M",0.5,0.42)</f>
        <v>0.42</v>
      </c>
      <c r="O25" s="50"/>
      <c r="P25" s="67"/>
    </row>
    <row r="26" spans="1:16" ht="22.5" customHeight="1">
      <c r="A26" s="26"/>
      <c r="B26" s="31"/>
      <c r="C26" s="61">
        <f t="shared" si="1"/>
      </c>
      <c r="D26" s="16"/>
      <c r="E26" s="29">
        <f t="shared" si="2"/>
      </c>
      <c r="F26" s="30">
        <f t="shared" si="0"/>
      </c>
      <c r="G26" s="62">
        <f t="shared" si="4"/>
      </c>
      <c r="H26" s="62">
        <f t="shared" si="3"/>
      </c>
      <c r="I26" s="55"/>
      <c r="J26" s="55"/>
      <c r="K26" s="4"/>
      <c r="L26" s="4" t="str">
        <f>IF($F$5="M","","Bonded Concrete Pavement (5.5 inches)")</f>
        <v>Bonded Concrete Pavement (5.5 inches)</v>
      </c>
      <c r="M26" s="5">
        <f>IF($F$5="M",0.53,0.45)</f>
        <v>0.45</v>
      </c>
      <c r="O26" s="50"/>
      <c r="P26" s="5"/>
    </row>
    <row r="27" spans="1:16" ht="22.5" customHeight="1">
      <c r="A27" s="26"/>
      <c r="B27" s="31"/>
      <c r="C27" s="61">
        <f t="shared" si="1"/>
      </c>
      <c r="D27" s="16"/>
      <c r="E27" s="29">
        <f t="shared" si="2"/>
      </c>
      <c r="F27" s="30">
        <f t="shared" si="0"/>
      </c>
      <c r="G27" s="62">
        <f t="shared" si="4"/>
      </c>
      <c r="H27" s="62">
        <f t="shared" si="3"/>
      </c>
      <c r="I27" s="55"/>
      <c r="J27" s="55"/>
      <c r="K27" s="66"/>
      <c r="L27" s="4" t="str">
        <f>IF($F$5="M","Bonded Concrete Pavement (160mm)","Bonded Concrete Pavement (6 inches)")</f>
        <v>Bonded Concrete Pavement (6 inches)</v>
      </c>
      <c r="M27" s="5">
        <f>IF($F$5="M",0.57,0.48)</f>
        <v>0.48</v>
      </c>
      <c r="O27" s="50"/>
      <c r="P27" s="67"/>
    </row>
    <row r="28" spans="1:16" ht="22.5" customHeight="1">
      <c r="A28" s="26"/>
      <c r="B28" s="31"/>
      <c r="C28" s="61">
        <f t="shared" si="1"/>
      </c>
      <c r="D28" s="16"/>
      <c r="E28" s="29">
        <f t="shared" si="2"/>
      </c>
      <c r="F28" s="30">
        <f t="shared" si="0"/>
      </c>
      <c r="G28" s="62">
        <f t="shared" si="4"/>
      </c>
      <c r="H28" s="62">
        <f t="shared" si="3"/>
      </c>
      <c r="I28" s="55"/>
      <c r="J28" s="55"/>
      <c r="K28" s="4"/>
      <c r="L28" s="4" t="str">
        <f>IF($F$5="M","Concrete Pavement 160 mm","Concrete Pavement 6 inches")</f>
        <v>Concrete Pavement 6 inches</v>
      </c>
      <c r="M28" s="5">
        <f>IF($F$5="M",0.58,0.48)</f>
        <v>0.48</v>
      </c>
      <c r="O28" s="50"/>
      <c r="P28" s="5"/>
    </row>
    <row r="29" spans="1:16" ht="22.5" customHeight="1">
      <c r="A29" s="26"/>
      <c r="B29" s="31"/>
      <c r="C29" s="61">
        <f t="shared" si="1"/>
      </c>
      <c r="D29" s="16"/>
      <c r="E29" s="29">
        <f t="shared" si="2"/>
      </c>
      <c r="F29" s="30">
        <f t="shared" si="0"/>
      </c>
      <c r="G29" s="62">
        <f t="shared" si="4"/>
      </c>
      <c r="H29" s="62">
        <f t="shared" si="3"/>
      </c>
      <c r="I29" s="55"/>
      <c r="J29" s="55"/>
      <c r="K29" s="4"/>
      <c r="L29" s="4" t="str">
        <f>IF($F$5="M","","Concrete Pavement 6.5 inches")</f>
        <v>Concrete Pavement 6.5 inches</v>
      </c>
      <c r="M29" s="5">
        <f>IF($F$5="M",0.61,0.51)</f>
        <v>0.51</v>
      </c>
      <c r="O29" s="50"/>
      <c r="P29" s="5"/>
    </row>
    <row r="30" spans="1:16" ht="22.5" customHeight="1">
      <c r="A30" s="26"/>
      <c r="B30" s="31"/>
      <c r="C30" s="61">
        <f t="shared" si="1"/>
      </c>
      <c r="D30" s="16"/>
      <c r="E30" s="29">
        <f t="shared" si="2"/>
      </c>
      <c r="F30" s="30">
        <f t="shared" si="0"/>
      </c>
      <c r="G30" s="62">
        <f t="shared" si="4"/>
      </c>
      <c r="H30" s="62">
        <f t="shared" si="3"/>
      </c>
      <c r="I30" s="55"/>
      <c r="J30" s="55"/>
      <c r="K30" s="4"/>
      <c r="L30" s="4" t="str">
        <f>IF($F$5="M","Concrete Pavement 180 mm","Concrete Pavement 7 inches")</f>
        <v>Concrete Pavement 7 inches</v>
      </c>
      <c r="M30" s="5">
        <f>IF($F$5="M",0.65,0.54)</f>
        <v>0.54</v>
      </c>
      <c r="O30" s="50"/>
      <c r="P30" s="5"/>
    </row>
    <row r="31" spans="1:16" ht="22.5" customHeight="1">
      <c r="A31" s="26"/>
      <c r="B31" s="31"/>
      <c r="C31" s="61">
        <f t="shared" si="1"/>
      </c>
      <c r="D31" s="16"/>
      <c r="E31" s="29">
        <f t="shared" si="2"/>
      </c>
      <c r="F31" s="30">
        <f t="shared" si="0"/>
      </c>
      <c r="G31" s="62">
        <f t="shared" si="4"/>
      </c>
      <c r="H31" s="62">
        <f t="shared" si="3"/>
      </c>
      <c r="I31" s="55"/>
      <c r="J31" s="55"/>
      <c r="K31" s="4"/>
      <c r="L31" s="4" t="str">
        <f>IF($F$5="M","Concrete Pavement 190 mm","Concrete Pavement 7.5 inches")</f>
        <v>Concrete Pavement 7.5 inches</v>
      </c>
      <c r="M31" s="5">
        <f>IF($F$5="M",0.69,0.57)</f>
        <v>0.57</v>
      </c>
      <c r="O31" s="50"/>
      <c r="P31" s="5"/>
    </row>
    <row r="32" spans="1:16" ht="22.5" customHeight="1">
      <c r="A32" s="26"/>
      <c r="B32" s="31"/>
      <c r="C32" s="61">
        <f t="shared" si="1"/>
      </c>
      <c r="D32" s="16"/>
      <c r="E32" s="29">
        <f t="shared" si="2"/>
      </c>
      <c r="F32" s="30">
        <f t="shared" si="0"/>
      </c>
      <c r="G32" s="62">
        <f t="shared" si="4"/>
      </c>
      <c r="H32" s="62">
        <f t="shared" si="3"/>
      </c>
      <c r="I32" s="55"/>
      <c r="J32" s="55"/>
      <c r="K32" s="4"/>
      <c r="L32" s="4" t="str">
        <f>IF($F$5="M","Concrete Pavement 200 mm","Concrete Pavement 8 inches")</f>
        <v>Concrete Pavement 8 inches</v>
      </c>
      <c r="M32" s="5">
        <f>IF($F$5="M",0.72,0.6)</f>
        <v>0.6</v>
      </c>
      <c r="O32" s="50"/>
      <c r="P32" s="5"/>
    </row>
    <row r="33" spans="1:16" ht="22.5" customHeight="1">
      <c r="A33" s="26"/>
      <c r="B33" s="31"/>
      <c r="C33" s="61">
        <f t="shared" si="1"/>
      </c>
      <c r="D33" s="16"/>
      <c r="E33" s="29">
        <f t="shared" si="2"/>
      </c>
      <c r="F33" s="30">
        <f t="shared" si="0"/>
      </c>
      <c r="G33" s="62">
        <f t="shared" si="4"/>
      </c>
      <c r="H33" s="62">
        <f t="shared" si="3"/>
      </c>
      <c r="I33" s="55"/>
      <c r="J33" s="55"/>
      <c r="K33" s="6"/>
      <c r="L33" s="4" t="str">
        <f>IF($F$5="M","Concrete Pavement 220 mm","Concrete Pavement 8 1/2 inches")</f>
        <v>Concrete Pavement 8 1/2 inches</v>
      </c>
      <c r="M33" s="5">
        <f>IF($F$5="M",0.76,0.63)</f>
        <v>0.63</v>
      </c>
      <c r="N33" s="6"/>
      <c r="O33" s="50"/>
      <c r="P33" s="50"/>
    </row>
    <row r="34" spans="1:16" ht="22.5" customHeight="1">
      <c r="A34" s="26"/>
      <c r="B34" s="31"/>
      <c r="C34" s="61">
        <f t="shared" si="1"/>
      </c>
      <c r="D34" s="16"/>
      <c r="E34" s="29">
        <f t="shared" si="2"/>
      </c>
      <c r="F34" s="30">
        <f t="shared" si="0"/>
      </c>
      <c r="G34" s="62">
        <f t="shared" si="4"/>
      </c>
      <c r="H34" s="62">
        <f t="shared" si="3"/>
      </c>
      <c r="I34" s="55"/>
      <c r="J34" s="55"/>
      <c r="K34" s="7"/>
      <c r="L34" s="4" t="str">
        <f>IF($F$5="M","Concrete Pavement 230 mm","Concrete Pavement 9 inches")</f>
        <v>Concrete Pavement 9 inches</v>
      </c>
      <c r="M34" s="5">
        <f>IF($F$5="M",0.79,0.66)</f>
        <v>0.66</v>
      </c>
      <c r="N34" s="6"/>
      <c r="O34" s="50"/>
      <c r="P34" s="50"/>
    </row>
    <row r="35" spans="1:16" ht="22.5" customHeight="1">
      <c r="A35" s="26"/>
      <c r="B35" s="31"/>
      <c r="C35" s="61">
        <f t="shared" si="1"/>
      </c>
      <c r="D35" s="16"/>
      <c r="E35" s="29">
        <f t="shared" si="2"/>
      </c>
      <c r="F35" s="30">
        <f t="shared" si="0"/>
      </c>
      <c r="G35" s="62">
        <f t="shared" si="4"/>
      </c>
      <c r="H35" s="62">
        <f t="shared" si="3"/>
      </c>
      <c r="I35" s="55"/>
      <c r="J35" s="55"/>
      <c r="K35" s="7"/>
      <c r="L35" s="4" t="str">
        <f>IF($F$5="M","Concrete Pavement 240 mm","Concrete Pavement 9 1/2 inches")</f>
        <v>Concrete Pavement 9 1/2 inches</v>
      </c>
      <c r="M35" s="5">
        <f>IF($F$5="M",0.82,0.69)</f>
        <v>0.69</v>
      </c>
      <c r="N35" s="6"/>
      <c r="O35" s="50"/>
      <c r="P35" s="50"/>
    </row>
    <row r="36" spans="1:16" ht="22.5" customHeight="1">
      <c r="A36" s="26"/>
      <c r="B36" s="31"/>
      <c r="C36" s="61">
        <f t="shared" si="1"/>
      </c>
      <c r="D36" s="16"/>
      <c r="E36" s="29">
        <f t="shared" si="2"/>
      </c>
      <c r="F36" s="30">
        <f t="shared" si="0"/>
      </c>
      <c r="G36" s="62">
        <f t="shared" si="4"/>
      </c>
      <c r="H36" s="62">
        <f t="shared" si="3"/>
      </c>
      <c r="I36" s="55"/>
      <c r="J36" s="55"/>
      <c r="K36" s="7"/>
      <c r="L36" s="4" t="str">
        <f>IF($F$5="M","Concrete Pavement 250 mm","Concrete Pavement 10 inches")</f>
        <v>Concrete Pavement 10 inches</v>
      </c>
      <c r="M36" s="5">
        <f>IF($F$5="M",0.86,0.72)</f>
        <v>0.72</v>
      </c>
      <c r="N36" s="6"/>
      <c r="O36" s="50"/>
      <c r="P36" s="50"/>
    </row>
    <row r="37" spans="1:16" ht="22.5" customHeight="1">
      <c r="A37" s="26"/>
      <c r="B37" s="31"/>
      <c r="C37" s="61">
        <f t="shared" si="1"/>
      </c>
      <c r="D37" s="16"/>
      <c r="E37" s="29">
        <f t="shared" si="2"/>
      </c>
      <c r="F37" s="30">
        <f t="shared" si="0"/>
      </c>
      <c r="G37" s="62">
        <f t="shared" si="4"/>
      </c>
      <c r="H37" s="62">
        <f t="shared" si="3"/>
      </c>
      <c r="I37" s="55"/>
      <c r="J37" s="55"/>
      <c r="K37" s="7"/>
      <c r="L37" s="4">
        <f>IF(F5="M","Concrete Pavement 260 mm","")</f>
      </c>
      <c r="M37" s="5">
        <v>0.86</v>
      </c>
      <c r="N37" s="6"/>
      <c r="O37" s="50"/>
      <c r="P37" s="50"/>
    </row>
    <row r="38" spans="1:16" ht="22.5" customHeight="1">
      <c r="A38" s="26"/>
      <c r="B38" s="31"/>
      <c r="C38" s="61">
        <f t="shared" si="1"/>
      </c>
      <c r="D38" s="16"/>
      <c r="E38" s="29">
        <f t="shared" si="2"/>
      </c>
      <c r="F38" s="30">
        <f t="shared" si="0"/>
      </c>
      <c r="G38" s="62">
        <f t="shared" si="4"/>
      </c>
      <c r="H38" s="62">
        <f t="shared" si="3"/>
      </c>
      <c r="I38" s="55"/>
      <c r="J38" s="55"/>
      <c r="K38" s="7"/>
      <c r="L38" s="4" t="str">
        <f>IF($F$5="M","Concrete Pavement 270 mm","Concrete Pavement 10 1/2 inches")</f>
        <v>Concrete Pavement 10 1/2 inches</v>
      </c>
      <c r="M38" s="5">
        <f>IF($F$5="M",0.89,0.75)</f>
        <v>0.75</v>
      </c>
      <c r="N38" s="6"/>
      <c r="O38" s="50"/>
      <c r="P38" s="50"/>
    </row>
    <row r="39" spans="1:16" ht="22.5" customHeight="1">
      <c r="A39" s="39"/>
      <c r="B39" s="40"/>
      <c r="C39" s="32"/>
      <c r="D39" s="32"/>
      <c r="E39" s="33"/>
      <c r="F39" s="34"/>
      <c r="G39" s="35"/>
      <c r="H39" s="36" t="s">
        <v>66</v>
      </c>
      <c r="I39" s="47"/>
      <c r="J39" s="55"/>
      <c r="K39" s="7"/>
      <c r="L39" s="4" t="str">
        <f>IF($F$5="M","Concrete Pavement 280 mm","Concrete Pavement 11 inches")</f>
        <v>Concrete Pavement 11 inches</v>
      </c>
      <c r="M39" s="5">
        <f>IF($F$5="M",0.93,0.78)</f>
        <v>0.78</v>
      </c>
      <c r="N39" s="6"/>
      <c r="O39" s="50"/>
      <c r="P39" s="50"/>
    </row>
    <row r="40" spans="9:14" ht="12.75">
      <c r="I40" s="41"/>
      <c r="J40" s="41"/>
      <c r="K40" s="7"/>
      <c r="L40" s="4" t="str">
        <f>IF($F$5="M","Concrete Pavement 290 mm","Concrete Pavement 11 1/2 inches")</f>
        <v>Concrete Pavement 11 1/2 inches</v>
      </c>
      <c r="M40" s="5">
        <f>IF($F$5="M",0.96,0.81)</f>
        <v>0.81</v>
      </c>
      <c r="N40" s="6"/>
    </row>
    <row r="41" spans="1:14" ht="12.75">
      <c r="A41" s="42"/>
      <c r="B41" s="43"/>
      <c r="C41" s="44"/>
      <c r="D41" s="44"/>
      <c r="E41" s="45"/>
      <c r="F41" s="46"/>
      <c r="G41" s="47"/>
      <c r="H41" s="47"/>
      <c r="I41" s="47"/>
      <c r="J41" s="47"/>
      <c r="K41" s="7"/>
      <c r="L41" s="4" t="str">
        <f>IF($F$5="M","Concrete Pavement 300 mm","Concrete Pavement 12 inches")</f>
        <v>Concrete Pavement 12 inches</v>
      </c>
      <c r="M41" s="5">
        <f>IF($F$5="M",0.99,0.83)</f>
        <v>0.83</v>
      </c>
      <c r="N41" s="6"/>
    </row>
    <row r="42" spans="1:14" ht="12.75">
      <c r="A42" s="42"/>
      <c r="B42" s="43"/>
      <c r="C42" s="44"/>
      <c r="D42" s="44"/>
      <c r="E42" s="45"/>
      <c r="F42" s="46"/>
      <c r="G42" s="47"/>
      <c r="H42" s="47"/>
      <c r="I42" s="47"/>
      <c r="J42" s="47"/>
      <c r="K42" s="7"/>
      <c r="L42" s="4" t="str">
        <f>IF($F$5="M","Concrete Pavement 320 mm","Concrete Pavement 12 1/2 inches")</f>
        <v>Concrete Pavement 12 1/2 inches</v>
      </c>
      <c r="M42" s="5">
        <f>IF($F$5="M",1.02,0.86)</f>
        <v>0.86</v>
      </c>
      <c r="N42" s="6"/>
    </row>
    <row r="43" spans="1:14" ht="12.75">
      <c r="A43" s="42"/>
      <c r="B43" s="43"/>
      <c r="C43" s="44"/>
      <c r="D43" s="44"/>
      <c r="E43" s="45"/>
      <c r="F43" s="46"/>
      <c r="G43" s="47"/>
      <c r="H43" s="47"/>
      <c r="I43" s="47"/>
      <c r="J43" s="47"/>
      <c r="K43" s="7"/>
      <c r="L43" s="4" t="str">
        <f>IF($F$5="M","Concrete Pavement 330 mm","Concrete Pavement 13 inches")</f>
        <v>Concrete Pavement 13 inches</v>
      </c>
      <c r="M43" s="5">
        <f>IF($F$5="M",1.06,0.89)</f>
        <v>0.89</v>
      </c>
      <c r="N43" s="6"/>
    </row>
    <row r="44" spans="1:14" ht="12.75">
      <c r="A44" s="42"/>
      <c r="B44" s="43"/>
      <c r="C44" s="44"/>
      <c r="D44" s="44"/>
      <c r="E44" s="45"/>
      <c r="F44" s="46"/>
      <c r="G44" s="47"/>
      <c r="H44" s="47"/>
      <c r="I44" s="47"/>
      <c r="J44" s="47"/>
      <c r="K44" s="7"/>
      <c r="L44" s="4" t="str">
        <f>IF($F$5="M","Concrete Pavement 340 mm","Concrete Pavement 13 1/2 inches")</f>
        <v>Concrete Pavement 13 1/2 inches</v>
      </c>
      <c r="M44" s="5">
        <f>IF($F$5="M",1.1,0.92)</f>
        <v>0.92</v>
      </c>
      <c r="N44" s="6"/>
    </row>
    <row r="45" spans="1:14" ht="12.75">
      <c r="A45" s="42"/>
      <c r="B45" s="43"/>
      <c r="C45" s="44"/>
      <c r="D45" s="44"/>
      <c r="E45" s="45"/>
      <c r="F45" s="46"/>
      <c r="G45" s="47"/>
      <c r="H45" s="47"/>
      <c r="I45" s="47"/>
      <c r="J45" s="47"/>
      <c r="K45" s="7"/>
      <c r="L45" s="4" t="str">
        <f>IF($F$5="M","Concrete Pavement 360 mm","Concrete Pavement 14 inches")</f>
        <v>Concrete Pavement 14 inches</v>
      </c>
      <c r="M45" s="5">
        <f>IF($F$5="M",1.14,0.95)</f>
        <v>0.95</v>
      </c>
      <c r="N45" s="6"/>
    </row>
    <row r="46" spans="1:14" ht="12.75">
      <c r="A46" s="48"/>
      <c r="B46" s="48"/>
      <c r="C46" s="48"/>
      <c r="D46" s="48"/>
      <c r="E46" s="49"/>
      <c r="F46" s="48"/>
      <c r="G46" s="48"/>
      <c r="H46" s="48"/>
      <c r="I46" s="48"/>
      <c r="J46" s="48"/>
      <c r="K46" s="7"/>
      <c r="L46" s="4" t="str">
        <f>IF($F$5="M","Concrete Pavement 370 mm","Concrete Pavement 14 1/2 inches")</f>
        <v>Concrete Pavement 14 1/2 inches</v>
      </c>
      <c r="M46" s="5">
        <f>IF($F$5="M",1.17,0.98)</f>
        <v>0.98</v>
      </c>
      <c r="N46" s="6"/>
    </row>
    <row r="47" spans="1:14" ht="12.75">
      <c r="A47" s="50"/>
      <c r="B47" s="50"/>
      <c r="C47" s="50"/>
      <c r="D47" s="50"/>
      <c r="E47" s="51"/>
      <c r="F47" s="50"/>
      <c r="G47" s="50"/>
      <c r="H47" s="50"/>
      <c r="I47" s="50"/>
      <c r="J47" s="50"/>
      <c r="K47" s="7"/>
      <c r="L47" s="4" t="s">
        <v>60</v>
      </c>
      <c r="M47" s="5">
        <f>IF($F$5="M",334.65,10.2)</f>
        <v>10.2</v>
      </c>
      <c r="N47" s="6"/>
    </row>
    <row r="48" spans="1:14" ht="12.75">
      <c r="A48" s="50"/>
      <c r="B48" s="50"/>
      <c r="C48" s="50"/>
      <c r="D48" s="50"/>
      <c r="E48" s="51"/>
      <c r="F48" s="50"/>
      <c r="G48" s="50"/>
      <c r="H48" s="50"/>
      <c r="I48" s="50"/>
      <c r="J48" s="50"/>
      <c r="K48" s="7"/>
      <c r="L48" s="4" t="s">
        <v>59</v>
      </c>
      <c r="M48" s="5">
        <f>IF($F$5="M",2.65,2.4)</f>
        <v>2.4</v>
      </c>
      <c r="N48" s="6"/>
    </row>
    <row r="49" spans="1:14" ht="12.75">
      <c r="A49" s="50"/>
      <c r="B49" s="50"/>
      <c r="C49" s="50"/>
      <c r="D49" s="50"/>
      <c r="E49" s="51"/>
      <c r="F49" s="50"/>
      <c r="G49" s="50"/>
      <c r="H49" s="50"/>
      <c r="I49" s="50"/>
      <c r="J49" s="50"/>
      <c r="K49" s="7"/>
      <c r="L49" s="4" t="s">
        <v>64</v>
      </c>
      <c r="M49" s="5">
        <f>IF($F$5="M",2.65,2.4)</f>
        <v>2.4</v>
      </c>
      <c r="N49" s="6"/>
    </row>
    <row r="50" spans="1:14" ht="12.75">
      <c r="A50" s="50"/>
      <c r="B50" s="50"/>
      <c r="C50" s="50"/>
      <c r="D50" s="50"/>
      <c r="E50" s="51"/>
      <c r="F50" s="50"/>
      <c r="G50" s="50"/>
      <c r="H50" s="50"/>
      <c r="I50" s="50"/>
      <c r="J50" s="50"/>
      <c r="K50" s="7"/>
      <c r="L50" s="4" t="s">
        <v>65</v>
      </c>
      <c r="M50" s="5">
        <f>IF($F$5="M",2.65,2.4)</f>
        <v>2.4</v>
      </c>
      <c r="N50" s="6"/>
    </row>
    <row r="51" spans="11:13" ht="12.75">
      <c r="K51" s="7"/>
      <c r="L51" s="4"/>
      <c r="M51" s="5"/>
    </row>
    <row r="52" spans="11:13" ht="12.75">
      <c r="K52" s="7"/>
      <c r="L52" s="6"/>
      <c r="M52" s="6"/>
    </row>
    <row r="53" spans="11:13" ht="12.75">
      <c r="K53" s="7"/>
      <c r="L53" s="37"/>
      <c r="M53" s="37"/>
    </row>
    <row r="54" spans="11:13" ht="12.75">
      <c r="K54" s="7"/>
      <c r="L54" s="37"/>
      <c r="M54" s="37"/>
    </row>
    <row r="55" spans="12:13" ht="12.75">
      <c r="L55" s="37"/>
      <c r="M55" s="37"/>
    </row>
    <row r="56" spans="12:13" ht="12.75">
      <c r="L56" s="37"/>
      <c r="M56" s="37"/>
    </row>
    <row r="57" spans="12:13" ht="12.75">
      <c r="L57" s="37"/>
      <c r="M57" s="37"/>
    </row>
    <row r="58" spans="12:13" ht="12.75">
      <c r="L58" s="37"/>
      <c r="M58" s="37"/>
    </row>
    <row r="59" spans="12:13" ht="12.75">
      <c r="L59" s="37"/>
      <c r="M59" s="37"/>
    </row>
    <row r="60" spans="12:13" ht="12.75">
      <c r="L60" s="37"/>
      <c r="M60" s="37"/>
    </row>
    <row r="61" spans="12:13" ht="12.75">
      <c r="L61" s="37"/>
      <c r="M61" s="37"/>
    </row>
    <row r="62" spans="12:13" ht="12.75">
      <c r="L62" s="37"/>
      <c r="M62" s="37"/>
    </row>
    <row r="63" spans="12:13" ht="12.75">
      <c r="L63" s="37"/>
      <c r="M63" s="37"/>
    </row>
    <row r="64" spans="12:13" ht="12.75">
      <c r="L64" s="37"/>
      <c r="M64" s="37"/>
    </row>
    <row r="65" spans="12:13" ht="12.75">
      <c r="L65" s="37"/>
      <c r="M65" s="37"/>
    </row>
    <row r="66" spans="12:13" ht="12.75">
      <c r="L66" s="37"/>
      <c r="M66" s="37"/>
    </row>
    <row r="67" spans="12:13" ht="12.75">
      <c r="L67" s="37"/>
      <c r="M67" s="37"/>
    </row>
    <row r="68" spans="12:13" ht="12.75">
      <c r="L68" s="37"/>
      <c r="M68" s="37"/>
    </row>
    <row r="69" spans="12:13" ht="12.75">
      <c r="L69" s="37"/>
      <c r="M69" s="37"/>
    </row>
    <row r="70" ht="12.75">
      <c r="L70" s="37"/>
    </row>
    <row r="71" ht="12.75">
      <c r="L71" s="37"/>
    </row>
    <row r="72" ht="12.75">
      <c r="L72" s="37"/>
    </row>
  </sheetData>
  <sheetProtection password="BF11" sheet="1" objects="1" scenarios="1" selectLockedCells="1"/>
  <mergeCells count="4">
    <mergeCell ref="F3:H3"/>
    <mergeCell ref="F4:H4"/>
    <mergeCell ref="D5:E5"/>
    <mergeCell ref="B6:E6"/>
  </mergeCells>
  <dataValidations count="1">
    <dataValidation type="list" allowBlank="1" showInputMessage="1" showErrorMessage="1" promptTitle="Data Entry Restriction!" prompt="Please select one item from this drop down box. No other values will be accepted." errorTitle="Wrong data!" error="Please enter a value from the drop down list." sqref="B6:E6">
      <formula1>$L$7:$L$50</formula1>
    </dataValidation>
  </dataValidations>
  <printOptions/>
  <pageMargins left="1.06" right="0.5" top="0.5" bottom="0" header="0.5" footer="0"/>
  <pageSetup blackAndWhite="1" fitToHeight="1" fitToWidth="1" horizontalDpi="600" verticalDpi="600" orientation="portrait" scale="9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"/>
  <sheetViews>
    <sheetView showGridLines="0" showRowColHeaders="0" zoomScalePageLayoutView="0" workbookViewId="0" topLeftCell="A1">
      <selection activeCell="B6" sqref="B6:E6"/>
    </sheetView>
  </sheetViews>
  <sheetFormatPr defaultColWidth="9.140625" defaultRowHeight="12.75"/>
  <cols>
    <col min="1" max="1" width="13.00390625" style="0" customWidth="1"/>
    <col min="2" max="2" width="13.28125" style="0" customWidth="1"/>
    <col min="3" max="3" width="9.00390625" style="0" customWidth="1"/>
    <col min="4" max="4" width="9.28125" style="0" customWidth="1"/>
    <col min="5" max="5" width="11.00390625" style="1" customWidth="1"/>
    <col min="6" max="6" width="10.57421875" style="0" customWidth="1"/>
    <col min="7" max="8" width="16.00390625" style="0" bestFit="1" customWidth="1"/>
    <col min="11" max="11" width="3.57421875" style="0" customWidth="1"/>
    <col min="12" max="12" width="47.00390625" style="0" hidden="1" customWidth="1"/>
    <col min="13" max="13" width="8.28125" style="0" hidden="1" customWidth="1"/>
    <col min="14" max="14" width="7.140625" style="0" customWidth="1"/>
    <col min="15" max="16" width="9.140625" style="0" customWidth="1"/>
  </cols>
  <sheetData>
    <row r="1" spans="1:16" ht="15">
      <c r="A1" s="8"/>
      <c r="B1" s="8"/>
      <c r="C1" s="9" t="s">
        <v>67</v>
      </c>
      <c r="D1" s="8"/>
      <c r="E1" s="10"/>
      <c r="F1" s="8"/>
      <c r="G1" s="8"/>
      <c r="H1" s="8"/>
      <c r="I1" s="52"/>
      <c r="J1" s="52"/>
      <c r="K1" s="50"/>
      <c r="L1" s="50"/>
      <c r="M1" s="50"/>
      <c r="N1" s="50"/>
      <c r="O1" s="50"/>
      <c r="P1" s="50"/>
    </row>
    <row r="2" spans="1:16" ht="17.25" customHeight="1">
      <c r="A2" s="8"/>
      <c r="B2" s="8"/>
      <c r="C2" s="8"/>
      <c r="D2" s="8"/>
      <c r="E2" s="10"/>
      <c r="F2" s="8"/>
      <c r="G2" s="8"/>
      <c r="H2" s="8"/>
      <c r="I2" s="52"/>
      <c r="J2" s="52"/>
      <c r="K2" s="50"/>
      <c r="L2" s="50"/>
      <c r="M2" s="50"/>
      <c r="N2" s="50"/>
      <c r="O2" s="50"/>
      <c r="P2" s="50"/>
    </row>
    <row r="3" spans="1:16" ht="21" customHeight="1">
      <c r="A3" s="11"/>
      <c r="B3" s="12"/>
      <c r="C3" s="11"/>
      <c r="D3" s="11"/>
      <c r="E3" s="63" t="s">
        <v>42</v>
      </c>
      <c r="F3" s="97">
        <f>IF('Item 1'!F3:H3="","",'Item 1'!F3:H3)</f>
      </c>
      <c r="G3" s="97"/>
      <c r="H3" s="97"/>
      <c r="I3" s="53"/>
      <c r="J3" s="53"/>
      <c r="K3" s="50"/>
      <c r="L3" s="50"/>
      <c r="M3" s="50"/>
      <c r="N3" s="50"/>
      <c r="O3" s="50"/>
      <c r="P3" s="50"/>
    </row>
    <row r="4" spans="1:16" ht="21" customHeight="1">
      <c r="A4" s="13" t="s">
        <v>43</v>
      </c>
      <c r="B4" s="82">
        <f>IF('Item 1'!B4="","",'Item 1'!B4)</f>
      </c>
      <c r="C4" s="38"/>
      <c r="D4" s="11"/>
      <c r="E4" s="64" t="s">
        <v>41</v>
      </c>
      <c r="F4" s="98">
        <f>IF('Item 1'!F4:H4="","",'Item 1'!F4:H4)</f>
      </c>
      <c r="G4" s="99"/>
      <c r="H4" s="100"/>
      <c r="I4" s="53"/>
      <c r="J4" s="53"/>
      <c r="K4" s="50"/>
      <c r="L4" s="57"/>
      <c r="M4" s="50"/>
      <c r="N4" s="50"/>
      <c r="O4" s="50"/>
      <c r="P4" s="50"/>
    </row>
    <row r="5" spans="1:16" ht="21" customHeight="1">
      <c r="A5" s="79" t="s">
        <v>44</v>
      </c>
      <c r="B5" s="15"/>
      <c r="C5" s="81">
        <f>IF('Item 1'!C5="","",'Item 1'!C5)</f>
      </c>
      <c r="D5" s="95" t="s">
        <v>46</v>
      </c>
      <c r="E5" s="96"/>
      <c r="F5" s="80">
        <f>IF('Item 1'!F5="","",'Item 1'!F5)</f>
      </c>
      <c r="G5" s="65" t="s">
        <v>45</v>
      </c>
      <c r="H5" s="60">
        <f>IF(B6="","",VLOOKUP(B6,L7:M50,2,FALSE))</f>
      </c>
      <c r="I5" s="53"/>
      <c r="J5" s="53"/>
      <c r="K5" s="4"/>
      <c r="L5" s="56"/>
      <c r="N5" s="4"/>
      <c r="O5" s="50"/>
      <c r="P5" s="50"/>
    </row>
    <row r="6" spans="1:16" ht="21" customHeight="1">
      <c r="A6" s="79" t="s">
        <v>20</v>
      </c>
      <c r="B6" s="88"/>
      <c r="C6" s="89"/>
      <c r="D6" s="89"/>
      <c r="E6" s="90"/>
      <c r="F6" s="58"/>
      <c r="H6" s="59"/>
      <c r="I6" s="53"/>
      <c r="J6" s="53"/>
      <c r="K6" s="4"/>
      <c r="L6" s="4" t="s">
        <v>21</v>
      </c>
      <c r="M6" s="4" t="s">
        <v>37</v>
      </c>
      <c r="O6" s="50"/>
      <c r="P6" s="4"/>
    </row>
    <row r="7" spans="1:16" ht="12.75">
      <c r="A7" s="11"/>
      <c r="B7" s="11"/>
      <c r="C7" s="17"/>
      <c r="D7" s="11"/>
      <c r="E7" s="7"/>
      <c r="F7" s="11"/>
      <c r="G7" s="11"/>
      <c r="H7" s="11"/>
      <c r="I7" s="53"/>
      <c r="J7" s="53"/>
      <c r="K7" s="4"/>
      <c r="L7" s="4" t="s">
        <v>22</v>
      </c>
      <c r="M7" s="5">
        <f>IF($F$5="M",0.33,0.25)</f>
        <v>0.25</v>
      </c>
      <c r="O7" s="50"/>
      <c r="P7" s="5"/>
    </row>
    <row r="8" spans="1:16" ht="12.75">
      <c r="A8" s="18" t="s">
        <v>0</v>
      </c>
      <c r="B8" s="18" t="s">
        <v>18</v>
      </c>
      <c r="C8" s="19" t="s">
        <v>2</v>
      </c>
      <c r="D8" s="18" t="s">
        <v>5</v>
      </c>
      <c r="E8" s="20" t="s">
        <v>8</v>
      </c>
      <c r="F8" s="18" t="s">
        <v>10</v>
      </c>
      <c r="G8" s="18" t="s">
        <v>13</v>
      </c>
      <c r="H8" s="18" t="s">
        <v>8</v>
      </c>
      <c r="I8" s="54"/>
      <c r="J8" s="54"/>
      <c r="K8" s="4"/>
      <c r="L8" s="4" t="s">
        <v>61</v>
      </c>
      <c r="M8" s="5">
        <f>IF($F$5="M",0.33,0.25)</f>
        <v>0.25</v>
      </c>
      <c r="O8" s="50"/>
      <c r="P8" s="5"/>
    </row>
    <row r="9" spans="1:16" ht="12.75">
      <c r="A9" s="21"/>
      <c r="B9" s="22" t="s">
        <v>16</v>
      </c>
      <c r="C9" s="22" t="s">
        <v>3</v>
      </c>
      <c r="D9" s="22" t="s">
        <v>6</v>
      </c>
      <c r="E9" s="23"/>
      <c r="F9" s="22" t="s">
        <v>11</v>
      </c>
      <c r="G9" s="22" t="s">
        <v>14</v>
      </c>
      <c r="H9" s="22" t="s">
        <v>9</v>
      </c>
      <c r="I9" s="54"/>
      <c r="J9" s="54"/>
      <c r="K9" s="4"/>
      <c r="L9" s="4" t="s">
        <v>19</v>
      </c>
      <c r="M9" s="5">
        <f>IF($F$5="M",0.43,0.33)</f>
        <v>0.33</v>
      </c>
      <c r="O9" s="50"/>
      <c r="P9" s="5"/>
    </row>
    <row r="10" spans="1:16" ht="12.75">
      <c r="A10" s="24" t="s">
        <v>1</v>
      </c>
      <c r="B10" s="24" t="s">
        <v>17</v>
      </c>
      <c r="C10" s="24" t="s">
        <v>4</v>
      </c>
      <c r="D10" s="24" t="s">
        <v>7</v>
      </c>
      <c r="E10" s="25" t="s">
        <v>9</v>
      </c>
      <c r="F10" s="24" t="s">
        <v>12</v>
      </c>
      <c r="G10" s="24" t="s">
        <v>15</v>
      </c>
      <c r="H10" s="24" t="s">
        <v>15</v>
      </c>
      <c r="I10" s="54"/>
      <c r="J10" s="54"/>
      <c r="K10" s="4"/>
      <c r="L10" s="4" t="s">
        <v>62</v>
      </c>
      <c r="M10" s="5">
        <f>IF($F$5="M",0.43,0.33)</f>
        <v>0.33</v>
      </c>
      <c r="O10" s="50"/>
      <c r="P10" s="5"/>
    </row>
    <row r="11" spans="1:16" ht="22.5" customHeight="1">
      <c r="A11" s="26"/>
      <c r="B11" s="27"/>
      <c r="C11" s="61">
        <f>IF(H5="","",ABS($H$5))</f>
      </c>
      <c r="D11" s="28"/>
      <c r="E11" s="29">
        <f>IF(D11="","",+D11)</f>
      </c>
      <c r="F11" s="30">
        <f>+IF(B11="","",(B11-$C$5))</f>
      </c>
      <c r="G11" s="62">
        <f>IF(C11="","",IF(F11="","",+C11*D11*F11))</f>
      </c>
      <c r="H11" s="62">
        <f>+G11</f>
      </c>
      <c r="I11" s="54"/>
      <c r="J11" s="54"/>
      <c r="K11" s="4"/>
      <c r="L11" s="4" t="s">
        <v>24</v>
      </c>
      <c r="M11" s="5">
        <f>IF($F$5="M",0.38,0.29)</f>
        <v>0.29</v>
      </c>
      <c r="O11" s="50"/>
      <c r="P11" s="5"/>
    </row>
    <row r="12" spans="1:16" ht="22.5" customHeight="1">
      <c r="A12" s="26"/>
      <c r="B12" s="31"/>
      <c r="C12" s="61">
        <f>IF(B12="","",ABS($H$5))</f>
      </c>
      <c r="D12" s="16"/>
      <c r="E12" s="29">
        <f>IF(D12="","",+D12+E11)</f>
      </c>
      <c r="F12" s="30">
        <f aca="true" t="shared" si="0" ref="F12:F38">+IF(B12="","",(B12-$C$5))</f>
      </c>
      <c r="G12" s="62">
        <f>IF(C12="","",IF(F12="","",+C12*D12*F12))</f>
      </c>
      <c r="H12" s="62">
        <f>IF(G12="","",+H11+G12)</f>
      </c>
      <c r="I12" s="55"/>
      <c r="J12" s="55"/>
      <c r="K12" s="4"/>
      <c r="L12" s="4" t="s">
        <v>25</v>
      </c>
      <c r="M12" s="5">
        <f>IF($F$5="M",0.39,0.3)</f>
        <v>0.3</v>
      </c>
      <c r="O12" s="50"/>
      <c r="P12" s="5"/>
    </row>
    <row r="13" spans="1:16" ht="22.5" customHeight="1">
      <c r="A13" s="26"/>
      <c r="B13" s="31"/>
      <c r="C13" s="61">
        <f aca="true" t="shared" si="1" ref="C13:C38">IF(B13="","",ABS($H$5))</f>
      </c>
      <c r="D13" s="16"/>
      <c r="E13" s="29">
        <f aca="true" t="shared" si="2" ref="E13:E38">IF(D13="","",+D13+E12)</f>
      </c>
      <c r="F13" s="30">
        <f t="shared" si="0"/>
      </c>
      <c r="G13" s="62">
        <f>IF(C13="","",IF(F13="","",+C13*D13*F13))</f>
      </c>
      <c r="H13" s="62">
        <f aca="true" t="shared" si="3" ref="H13:H38">IF(G13="","",+H12+G13)</f>
      </c>
      <c r="I13" s="55"/>
      <c r="J13" s="55"/>
      <c r="K13" s="4"/>
      <c r="L13" s="4" t="s">
        <v>63</v>
      </c>
      <c r="M13" s="5">
        <f>IF($F$5="M",0.36,0.3)</f>
        <v>0.3</v>
      </c>
      <c r="O13" s="50"/>
      <c r="P13" s="5"/>
    </row>
    <row r="14" spans="1:16" ht="22.5" customHeight="1">
      <c r="A14" s="26"/>
      <c r="B14" s="31"/>
      <c r="C14" s="61">
        <f t="shared" si="1"/>
      </c>
      <c r="D14" s="16"/>
      <c r="E14" s="29">
        <f t="shared" si="2"/>
      </c>
      <c r="F14" s="30">
        <f t="shared" si="0"/>
      </c>
      <c r="G14" s="62">
        <f>IF(C14="","",IF(F14="","",+C14*D14*F14))</f>
      </c>
      <c r="H14" s="62">
        <f t="shared" si="3"/>
      </c>
      <c r="I14" s="55"/>
      <c r="J14" s="55"/>
      <c r="K14" s="66"/>
      <c r="L14" s="4" t="str">
        <f>IF($F$5="M","Concrete Placement:  75mm","Concrete Placement:  3 inches")</f>
        <v>Concrete Placement:  3 inches</v>
      </c>
      <c r="M14" s="5">
        <f>IF($F$5="M",0.36,0.3)</f>
        <v>0.3</v>
      </c>
      <c r="O14" s="50"/>
      <c r="P14" s="67"/>
    </row>
    <row r="15" spans="1:16" ht="22.5" customHeight="1">
      <c r="A15" s="26"/>
      <c r="B15" s="31"/>
      <c r="C15" s="61">
        <f t="shared" si="1"/>
      </c>
      <c r="D15" s="16"/>
      <c r="E15" s="29">
        <f t="shared" si="2"/>
      </c>
      <c r="F15" s="30">
        <f t="shared" si="0"/>
      </c>
      <c r="G15" s="62">
        <f>IF(C15="","",IF(F15="","",+C15*D15*F15))</f>
      </c>
      <c r="H15" s="62">
        <f t="shared" si="3"/>
      </c>
      <c r="I15" s="55"/>
      <c r="J15" s="55"/>
      <c r="K15" s="66"/>
      <c r="L15" s="4" t="str">
        <f>IF($F$5="M","","Concrete Placement:  3.5 inches")</f>
        <v>Concrete Placement:  3.5 inches</v>
      </c>
      <c r="M15" s="5">
        <f>IF($F$5="M",0.39,0.33)</f>
        <v>0.33</v>
      </c>
      <c r="O15" s="50"/>
      <c r="P15" s="67"/>
    </row>
    <row r="16" spans="1:16" ht="22.5" customHeight="1">
      <c r="A16" s="26"/>
      <c r="B16" s="31"/>
      <c r="C16" s="61">
        <f t="shared" si="1"/>
      </c>
      <c r="D16" s="16"/>
      <c r="E16" s="29">
        <f t="shared" si="2"/>
      </c>
      <c r="F16" s="30">
        <f t="shared" si="0"/>
      </c>
      <c r="G16" s="62">
        <f aca="true" t="shared" si="4" ref="G16:G38">IF(F16="","",+C16*D16*F16)</f>
      </c>
      <c r="H16" s="62">
        <f t="shared" si="3"/>
      </c>
      <c r="I16" s="55"/>
      <c r="J16" s="55"/>
      <c r="K16" s="4"/>
      <c r="L16" s="4" t="str">
        <f>IF($F$5="M","Concrete Placement:  100mm","Concrete Placement:  4 inches")</f>
        <v>Concrete Placement:  4 inches</v>
      </c>
      <c r="M16" s="5">
        <f>IF($F$5="M",0.43,0.36)</f>
        <v>0.36</v>
      </c>
      <c r="O16" s="50"/>
      <c r="P16" s="5"/>
    </row>
    <row r="17" spans="1:16" ht="22.5" customHeight="1">
      <c r="A17" s="26"/>
      <c r="B17" s="31"/>
      <c r="C17" s="61">
        <f t="shared" si="1"/>
      </c>
      <c r="D17" s="16"/>
      <c r="E17" s="29">
        <f t="shared" si="2"/>
      </c>
      <c r="F17" s="30">
        <f t="shared" si="0"/>
      </c>
      <c r="G17" s="62">
        <f t="shared" si="4"/>
      </c>
      <c r="H17" s="62">
        <f t="shared" si="3"/>
      </c>
      <c r="I17" s="55"/>
      <c r="J17" s="55"/>
      <c r="K17" s="66"/>
      <c r="L17" s="4" t="str">
        <f>IF($F$5="M","","Concrete Placement:  4.5 inches")</f>
        <v>Concrete Placement:  4.5 inches</v>
      </c>
      <c r="M17" s="5">
        <f>IF($F$5="M",0.46,0.39)</f>
        <v>0.39</v>
      </c>
      <c r="O17" s="50"/>
      <c r="P17" s="67"/>
    </row>
    <row r="18" spans="1:16" ht="22.5" customHeight="1">
      <c r="A18" s="26"/>
      <c r="B18" s="31"/>
      <c r="C18" s="61">
        <f t="shared" si="1"/>
      </c>
      <c r="D18" s="16"/>
      <c r="E18" s="29">
        <f t="shared" si="2"/>
      </c>
      <c r="F18" s="30">
        <f t="shared" si="0"/>
      </c>
      <c r="G18" s="62">
        <f t="shared" si="4"/>
      </c>
      <c r="H18" s="62">
        <f t="shared" si="3"/>
      </c>
      <c r="I18" s="55"/>
      <c r="J18" s="55"/>
      <c r="K18" s="4"/>
      <c r="L18" s="4" t="str">
        <f>IF($F$5="M","Concrete Placement:  140mm","Concrete Placement:  5 inches")</f>
        <v>Concrete Placement:  5 inches</v>
      </c>
      <c r="M18" s="5">
        <f>IF($F$5="M",0.5,0.42)</f>
        <v>0.42</v>
      </c>
      <c r="O18" s="50"/>
      <c r="P18" s="5"/>
    </row>
    <row r="19" spans="1:16" ht="22.5" customHeight="1">
      <c r="A19" s="26"/>
      <c r="B19" s="31"/>
      <c r="C19" s="61">
        <f t="shared" si="1"/>
      </c>
      <c r="D19" s="16"/>
      <c r="E19" s="29">
        <f t="shared" si="2"/>
      </c>
      <c r="F19" s="30">
        <f t="shared" si="0"/>
      </c>
      <c r="G19" s="62">
        <f t="shared" si="4"/>
      </c>
      <c r="H19" s="62">
        <f t="shared" si="3"/>
      </c>
      <c r="I19" s="55"/>
      <c r="J19" s="55"/>
      <c r="K19" s="66"/>
      <c r="L19" s="4" t="str">
        <f>IF($F$5="M","","Concrete Placement:  5.5 inches")</f>
        <v>Concrete Placement:  5.5 inches</v>
      </c>
      <c r="M19" s="5">
        <f>IF($F$5="M",0.53,0.45)</f>
        <v>0.45</v>
      </c>
      <c r="O19" s="50"/>
      <c r="P19" s="67"/>
    </row>
    <row r="20" spans="1:16" ht="21" customHeight="1">
      <c r="A20" s="26"/>
      <c r="B20" s="31"/>
      <c r="C20" s="61">
        <f t="shared" si="1"/>
      </c>
      <c r="D20" s="16"/>
      <c r="E20" s="29">
        <f t="shared" si="2"/>
      </c>
      <c r="F20" s="30">
        <f t="shared" si="0"/>
      </c>
      <c r="G20" s="62">
        <f t="shared" si="4"/>
      </c>
      <c r="H20" s="62">
        <f t="shared" si="3"/>
      </c>
      <c r="I20" s="55"/>
      <c r="J20" s="55"/>
      <c r="K20" s="4"/>
      <c r="L20" s="4" t="str">
        <f>IF($F$5="M","Concrete Placement:  160mm","Concrete Placement:  6 inches")</f>
        <v>Concrete Placement:  6 inches</v>
      </c>
      <c r="M20" s="5">
        <f>IF($F$5="M",0.57,0.48)</f>
        <v>0.48</v>
      </c>
      <c r="O20" s="50"/>
      <c r="P20" s="5"/>
    </row>
    <row r="21" spans="1:16" ht="21" customHeight="1">
      <c r="A21" s="26"/>
      <c r="B21" s="31"/>
      <c r="C21" s="61">
        <f t="shared" si="1"/>
      </c>
      <c r="D21" s="16"/>
      <c r="E21" s="29">
        <f t="shared" si="2"/>
      </c>
      <c r="F21" s="30">
        <f t="shared" si="0"/>
      </c>
      <c r="G21" s="62">
        <f t="shared" si="4"/>
      </c>
      <c r="H21" s="62">
        <f t="shared" si="3"/>
      </c>
      <c r="I21" s="55"/>
      <c r="J21" s="55"/>
      <c r="K21" s="66"/>
      <c r="L21" s="4" t="str">
        <f>IF($F$5="M","Bonded Concrete Pavement (75mm)","Bonded Concrete Pavement (3 inches)")</f>
        <v>Bonded Concrete Pavement (3 inches)</v>
      </c>
      <c r="M21" s="5">
        <f>IF($F$5="M",0.36,0.3)</f>
        <v>0.3</v>
      </c>
      <c r="O21" s="50"/>
      <c r="P21" s="67"/>
    </row>
    <row r="22" spans="1:16" ht="21" customHeight="1">
      <c r="A22" s="26"/>
      <c r="B22" s="31"/>
      <c r="C22" s="61">
        <f t="shared" si="1"/>
      </c>
      <c r="D22" s="16"/>
      <c r="E22" s="29">
        <f t="shared" si="2"/>
      </c>
      <c r="F22" s="30">
        <f t="shared" si="0"/>
      </c>
      <c r="G22" s="62">
        <f t="shared" si="4"/>
      </c>
      <c r="H22" s="62">
        <f t="shared" si="3"/>
      </c>
      <c r="I22" s="55"/>
      <c r="J22" s="55"/>
      <c r="K22" s="4"/>
      <c r="L22" s="4" t="str">
        <f>IF($F$5="M","","Bonded Concrete Pavement (3.5 inches)")</f>
        <v>Bonded Concrete Pavement (3.5 inches)</v>
      </c>
      <c r="M22" s="5">
        <f>IF($F$5="M",0.39,0.33)</f>
        <v>0.33</v>
      </c>
      <c r="O22" s="50"/>
      <c r="P22" s="5"/>
    </row>
    <row r="23" spans="1:16" ht="22.5" customHeight="1">
      <c r="A23" s="26"/>
      <c r="B23" s="31"/>
      <c r="C23" s="61">
        <f t="shared" si="1"/>
      </c>
      <c r="D23" s="16"/>
      <c r="E23" s="29">
        <f t="shared" si="2"/>
      </c>
      <c r="F23" s="30">
        <f t="shared" si="0"/>
      </c>
      <c r="G23" s="62">
        <f t="shared" si="4"/>
      </c>
      <c r="H23" s="62">
        <f t="shared" si="3"/>
      </c>
      <c r="I23" s="55"/>
      <c r="J23" s="55"/>
      <c r="K23" s="66"/>
      <c r="L23" s="4" t="str">
        <f>IF($F$5="M","Bonded Concrete Pavement (100mm)","Bonded Concrete Pavement (4 inches)")</f>
        <v>Bonded Concrete Pavement (4 inches)</v>
      </c>
      <c r="M23" s="5">
        <f>IF($F$5="M",0.43,0.36)</f>
        <v>0.36</v>
      </c>
      <c r="O23" s="50"/>
      <c r="P23" s="67"/>
    </row>
    <row r="24" spans="1:16" ht="22.5" customHeight="1">
      <c r="A24" s="26"/>
      <c r="B24" s="31"/>
      <c r="C24" s="61">
        <f t="shared" si="1"/>
      </c>
      <c r="D24" s="16"/>
      <c r="E24" s="29">
        <f t="shared" si="2"/>
      </c>
      <c r="F24" s="30">
        <f t="shared" si="0"/>
      </c>
      <c r="G24" s="62">
        <f t="shared" si="4"/>
      </c>
      <c r="H24" s="62">
        <f t="shared" si="3"/>
      </c>
      <c r="I24" s="55"/>
      <c r="J24" s="55"/>
      <c r="K24" s="4"/>
      <c r="L24" s="4" t="str">
        <f>IF($F$5="M","","Bonded Concrete Pavement (4.5 inches)")</f>
        <v>Bonded Concrete Pavement (4.5 inches)</v>
      </c>
      <c r="M24" s="5">
        <f>IF($F$5="M",0.46,0.39)</f>
        <v>0.39</v>
      </c>
      <c r="O24" s="50"/>
      <c r="P24" s="5"/>
    </row>
    <row r="25" spans="1:16" ht="22.5" customHeight="1">
      <c r="A25" s="26"/>
      <c r="B25" s="31"/>
      <c r="C25" s="61">
        <f t="shared" si="1"/>
      </c>
      <c r="D25" s="16"/>
      <c r="E25" s="29">
        <f t="shared" si="2"/>
      </c>
      <c r="F25" s="30">
        <f t="shared" si="0"/>
      </c>
      <c r="G25" s="62">
        <f t="shared" si="4"/>
      </c>
      <c r="H25" s="62">
        <f t="shared" si="3"/>
      </c>
      <c r="I25" s="55"/>
      <c r="J25" s="55"/>
      <c r="K25" s="66"/>
      <c r="L25" s="4" t="str">
        <f>IF($F$5="M","Bonded Concrete Pavement (140mm)","Bonded Concrete Pavement (5 inches)")</f>
        <v>Bonded Concrete Pavement (5 inches)</v>
      </c>
      <c r="M25" s="5">
        <f>IF($F$5="M",0.5,0.42)</f>
        <v>0.42</v>
      </c>
      <c r="O25" s="50"/>
      <c r="P25" s="67"/>
    </row>
    <row r="26" spans="1:16" ht="22.5" customHeight="1">
      <c r="A26" s="26"/>
      <c r="B26" s="31"/>
      <c r="C26" s="61">
        <f t="shared" si="1"/>
      </c>
      <c r="D26" s="16"/>
      <c r="E26" s="29">
        <f t="shared" si="2"/>
      </c>
      <c r="F26" s="30">
        <f t="shared" si="0"/>
      </c>
      <c r="G26" s="62">
        <f t="shared" si="4"/>
      </c>
      <c r="H26" s="62">
        <f t="shared" si="3"/>
      </c>
      <c r="I26" s="55"/>
      <c r="J26" s="55"/>
      <c r="K26" s="4"/>
      <c r="L26" s="4" t="str">
        <f>IF($F$5="M","","Bonded Concrete Pavement (5.5 inches)")</f>
        <v>Bonded Concrete Pavement (5.5 inches)</v>
      </c>
      <c r="M26" s="5">
        <f>IF($F$5="M",0.53,0.45)</f>
        <v>0.45</v>
      </c>
      <c r="O26" s="50"/>
      <c r="P26" s="5"/>
    </row>
    <row r="27" spans="1:16" ht="22.5" customHeight="1">
      <c r="A27" s="26"/>
      <c r="B27" s="31"/>
      <c r="C27" s="61">
        <f t="shared" si="1"/>
      </c>
      <c r="D27" s="16"/>
      <c r="E27" s="29">
        <f t="shared" si="2"/>
      </c>
      <c r="F27" s="30">
        <f t="shared" si="0"/>
      </c>
      <c r="G27" s="62">
        <f t="shared" si="4"/>
      </c>
      <c r="H27" s="62">
        <f t="shared" si="3"/>
      </c>
      <c r="I27" s="55"/>
      <c r="J27" s="55"/>
      <c r="K27" s="66"/>
      <c r="L27" s="4" t="str">
        <f>IF($F$5="M","Bonded Concrete Pavement (160mm)","Bonded Concrete Pavement (6 inches)")</f>
        <v>Bonded Concrete Pavement (6 inches)</v>
      </c>
      <c r="M27" s="5">
        <f>IF($F$5="M",0.57,0.48)</f>
        <v>0.48</v>
      </c>
      <c r="O27" s="50"/>
      <c r="P27" s="67"/>
    </row>
    <row r="28" spans="1:16" ht="22.5" customHeight="1">
      <c r="A28" s="26"/>
      <c r="B28" s="31"/>
      <c r="C28" s="61">
        <f t="shared" si="1"/>
      </c>
      <c r="D28" s="16"/>
      <c r="E28" s="29">
        <f t="shared" si="2"/>
      </c>
      <c r="F28" s="30">
        <f t="shared" si="0"/>
      </c>
      <c r="G28" s="62">
        <f t="shared" si="4"/>
      </c>
      <c r="H28" s="62">
        <f t="shared" si="3"/>
      </c>
      <c r="I28" s="55"/>
      <c r="J28" s="55"/>
      <c r="K28" s="4"/>
      <c r="L28" s="4" t="str">
        <f>IF($F$5="M","Concrete Pavement 160 mm","Concrete Pavement 6 inches")</f>
        <v>Concrete Pavement 6 inches</v>
      </c>
      <c r="M28" s="5">
        <f>IF($F$5="M",0.58,0.48)</f>
        <v>0.48</v>
      </c>
      <c r="O28" s="50"/>
      <c r="P28" s="5"/>
    </row>
    <row r="29" spans="1:16" ht="22.5" customHeight="1">
      <c r="A29" s="26"/>
      <c r="B29" s="31"/>
      <c r="C29" s="61">
        <f t="shared" si="1"/>
      </c>
      <c r="D29" s="16"/>
      <c r="E29" s="29">
        <f t="shared" si="2"/>
      </c>
      <c r="F29" s="30">
        <f t="shared" si="0"/>
      </c>
      <c r="G29" s="62">
        <f t="shared" si="4"/>
      </c>
      <c r="H29" s="62">
        <f t="shared" si="3"/>
      </c>
      <c r="I29" s="55"/>
      <c r="J29" s="55"/>
      <c r="K29" s="4"/>
      <c r="L29" s="4" t="str">
        <f>IF($F$5="M","","Concrete Pavement 6.5 inches")</f>
        <v>Concrete Pavement 6.5 inches</v>
      </c>
      <c r="M29" s="5">
        <f>IF($F$5="M",0.61,0.51)</f>
        <v>0.51</v>
      </c>
      <c r="O29" s="50"/>
      <c r="P29" s="5"/>
    </row>
    <row r="30" spans="1:16" ht="22.5" customHeight="1">
      <c r="A30" s="26"/>
      <c r="B30" s="31"/>
      <c r="C30" s="61">
        <f t="shared" si="1"/>
      </c>
      <c r="D30" s="16"/>
      <c r="E30" s="29">
        <f t="shared" si="2"/>
      </c>
      <c r="F30" s="30">
        <f t="shared" si="0"/>
      </c>
      <c r="G30" s="62">
        <f t="shared" si="4"/>
      </c>
      <c r="H30" s="62">
        <f t="shared" si="3"/>
      </c>
      <c r="I30" s="55"/>
      <c r="J30" s="55"/>
      <c r="K30" s="4"/>
      <c r="L30" s="4" t="str">
        <f>IF($F$5="M","Concrete Pavement 180 mm","Concrete Pavement 7 inches")</f>
        <v>Concrete Pavement 7 inches</v>
      </c>
      <c r="M30" s="5">
        <f>IF($F$5="M",0.65,0.54)</f>
        <v>0.54</v>
      </c>
      <c r="O30" s="50"/>
      <c r="P30" s="5"/>
    </row>
    <row r="31" spans="1:16" ht="22.5" customHeight="1">
      <c r="A31" s="26"/>
      <c r="B31" s="31"/>
      <c r="C31" s="61">
        <f t="shared" si="1"/>
      </c>
      <c r="D31" s="16"/>
      <c r="E31" s="29">
        <f t="shared" si="2"/>
      </c>
      <c r="F31" s="30">
        <f t="shared" si="0"/>
      </c>
      <c r="G31" s="62">
        <f t="shared" si="4"/>
      </c>
      <c r="H31" s="62">
        <f t="shared" si="3"/>
      </c>
      <c r="I31" s="55"/>
      <c r="J31" s="55"/>
      <c r="K31" s="4"/>
      <c r="L31" s="4" t="str">
        <f>IF($F$5="M","Concrete Pavement 190 mm","Concrete Pavement 7.5 inches")</f>
        <v>Concrete Pavement 7.5 inches</v>
      </c>
      <c r="M31" s="5">
        <f>IF($F$5="M",0.69,0.57)</f>
        <v>0.57</v>
      </c>
      <c r="O31" s="50"/>
      <c r="P31" s="5"/>
    </row>
    <row r="32" spans="1:16" ht="22.5" customHeight="1">
      <c r="A32" s="26"/>
      <c r="B32" s="31"/>
      <c r="C32" s="61">
        <f t="shared" si="1"/>
      </c>
      <c r="D32" s="16"/>
      <c r="E32" s="29">
        <f t="shared" si="2"/>
      </c>
      <c r="F32" s="30">
        <f t="shared" si="0"/>
      </c>
      <c r="G32" s="62">
        <f t="shared" si="4"/>
      </c>
      <c r="H32" s="62">
        <f t="shared" si="3"/>
      </c>
      <c r="I32" s="55"/>
      <c r="J32" s="55"/>
      <c r="K32" s="4"/>
      <c r="L32" s="4" t="str">
        <f>IF($F$5="M","Concrete Pavement 200 mm","Concrete Pavement 8 inches")</f>
        <v>Concrete Pavement 8 inches</v>
      </c>
      <c r="M32" s="5">
        <f>IF($F$5="M",0.72,0.6)</f>
        <v>0.6</v>
      </c>
      <c r="O32" s="50"/>
      <c r="P32" s="5"/>
    </row>
    <row r="33" spans="1:16" ht="22.5" customHeight="1">
      <c r="A33" s="26"/>
      <c r="B33" s="31"/>
      <c r="C33" s="61">
        <f t="shared" si="1"/>
      </c>
      <c r="D33" s="16"/>
      <c r="E33" s="29">
        <f t="shared" si="2"/>
      </c>
      <c r="F33" s="30">
        <f t="shared" si="0"/>
      </c>
      <c r="G33" s="62">
        <f t="shared" si="4"/>
      </c>
      <c r="H33" s="62">
        <f t="shared" si="3"/>
      </c>
      <c r="I33" s="55"/>
      <c r="J33" s="55"/>
      <c r="K33" s="6"/>
      <c r="L33" s="4" t="str">
        <f>IF($F$5="M","Concrete Pavement 220 mm","Concrete Pavement 8 1/2 inches")</f>
        <v>Concrete Pavement 8 1/2 inches</v>
      </c>
      <c r="M33" s="5">
        <f>IF($F$5="M",0.76,0.63)</f>
        <v>0.63</v>
      </c>
      <c r="N33" s="6"/>
      <c r="O33" s="50"/>
      <c r="P33" s="50"/>
    </row>
    <row r="34" spans="1:16" ht="22.5" customHeight="1">
      <c r="A34" s="26"/>
      <c r="B34" s="31"/>
      <c r="C34" s="61">
        <f t="shared" si="1"/>
      </c>
      <c r="D34" s="16"/>
      <c r="E34" s="29">
        <f t="shared" si="2"/>
      </c>
      <c r="F34" s="30">
        <f t="shared" si="0"/>
      </c>
      <c r="G34" s="62">
        <f t="shared" si="4"/>
      </c>
      <c r="H34" s="62">
        <f t="shared" si="3"/>
      </c>
      <c r="I34" s="55"/>
      <c r="J34" s="55"/>
      <c r="K34" s="7"/>
      <c r="L34" s="4" t="str">
        <f>IF($F$5="M","Concrete Pavement 230 mm","Concrete Pavement 9 inches")</f>
        <v>Concrete Pavement 9 inches</v>
      </c>
      <c r="M34" s="5">
        <f>IF($F$5="M",0.79,0.66)</f>
        <v>0.66</v>
      </c>
      <c r="N34" s="6"/>
      <c r="O34" s="50"/>
      <c r="P34" s="50"/>
    </row>
    <row r="35" spans="1:16" ht="22.5" customHeight="1">
      <c r="A35" s="26"/>
      <c r="B35" s="31"/>
      <c r="C35" s="61">
        <f t="shared" si="1"/>
      </c>
      <c r="D35" s="16"/>
      <c r="E35" s="29">
        <f t="shared" si="2"/>
      </c>
      <c r="F35" s="30">
        <f t="shared" si="0"/>
      </c>
      <c r="G35" s="62">
        <f t="shared" si="4"/>
      </c>
      <c r="H35" s="62">
        <f t="shared" si="3"/>
      </c>
      <c r="I35" s="55"/>
      <c r="J35" s="55"/>
      <c r="K35" s="7"/>
      <c r="L35" s="4" t="str">
        <f>IF($F$5="M","Concrete Pavement 240 mm","Concrete Pavement 9 1/2 inches")</f>
        <v>Concrete Pavement 9 1/2 inches</v>
      </c>
      <c r="M35" s="5">
        <f>IF($F$5="M",0.82,0.69)</f>
        <v>0.69</v>
      </c>
      <c r="N35" s="6"/>
      <c r="O35" s="50"/>
      <c r="P35" s="50"/>
    </row>
    <row r="36" spans="1:16" ht="22.5" customHeight="1">
      <c r="A36" s="26"/>
      <c r="B36" s="31"/>
      <c r="C36" s="61">
        <f t="shared" si="1"/>
      </c>
      <c r="D36" s="16"/>
      <c r="E36" s="29">
        <f t="shared" si="2"/>
      </c>
      <c r="F36" s="30">
        <f t="shared" si="0"/>
      </c>
      <c r="G36" s="62">
        <f t="shared" si="4"/>
      </c>
      <c r="H36" s="62">
        <f t="shared" si="3"/>
      </c>
      <c r="I36" s="55"/>
      <c r="J36" s="55"/>
      <c r="K36" s="7"/>
      <c r="L36" s="4" t="str">
        <f>IF($F$5="M","Concrete Pavement 250 mm","Concrete Pavement 10 inches")</f>
        <v>Concrete Pavement 10 inches</v>
      </c>
      <c r="M36" s="5">
        <f>IF($F$5="M",0.86,0.72)</f>
        <v>0.72</v>
      </c>
      <c r="N36" s="6"/>
      <c r="O36" s="50"/>
      <c r="P36" s="50"/>
    </row>
    <row r="37" spans="1:16" ht="22.5" customHeight="1">
      <c r="A37" s="26"/>
      <c r="B37" s="31"/>
      <c r="C37" s="61">
        <f t="shared" si="1"/>
      </c>
      <c r="D37" s="16"/>
      <c r="E37" s="29">
        <f t="shared" si="2"/>
      </c>
      <c r="F37" s="30">
        <f t="shared" si="0"/>
      </c>
      <c r="G37" s="62">
        <f t="shared" si="4"/>
      </c>
      <c r="H37" s="62">
        <f t="shared" si="3"/>
      </c>
      <c r="I37" s="55"/>
      <c r="J37" s="55"/>
      <c r="K37" s="7"/>
      <c r="L37" s="4">
        <f>IF(F5="M","Concrete Pavement 260 mm","")</f>
      </c>
      <c r="M37" s="5">
        <v>0.86</v>
      </c>
      <c r="N37" s="6"/>
      <c r="O37" s="50"/>
      <c r="P37" s="50"/>
    </row>
    <row r="38" spans="1:16" ht="22.5" customHeight="1">
      <c r="A38" s="26"/>
      <c r="B38" s="31"/>
      <c r="C38" s="61">
        <f t="shared" si="1"/>
      </c>
      <c r="D38" s="16"/>
      <c r="E38" s="29">
        <f t="shared" si="2"/>
      </c>
      <c r="F38" s="30">
        <f t="shared" si="0"/>
      </c>
      <c r="G38" s="62">
        <f t="shared" si="4"/>
      </c>
      <c r="H38" s="62">
        <f t="shared" si="3"/>
      </c>
      <c r="I38" s="55"/>
      <c r="J38" s="55"/>
      <c r="K38" s="7"/>
      <c r="L38" s="4" t="str">
        <f>IF($F$5="M","Concrete Pavement 270 mm","Concrete Pavement 10 1/2 inches")</f>
        <v>Concrete Pavement 10 1/2 inches</v>
      </c>
      <c r="M38" s="5">
        <f>IF($F$5="M",0.89,0.75)</f>
        <v>0.75</v>
      </c>
      <c r="N38" s="6"/>
      <c r="O38" s="50"/>
      <c r="P38" s="50"/>
    </row>
    <row r="39" spans="1:16" ht="22.5" customHeight="1">
      <c r="A39" s="39"/>
      <c r="B39" s="40"/>
      <c r="C39" s="32"/>
      <c r="D39" s="32"/>
      <c r="E39" s="33"/>
      <c r="F39" s="34"/>
      <c r="G39" s="35"/>
      <c r="H39" s="36" t="s">
        <v>66</v>
      </c>
      <c r="I39" s="47"/>
      <c r="J39" s="55"/>
      <c r="K39" s="7"/>
      <c r="L39" s="4" t="str">
        <f>IF($F$5="M","Concrete Pavement 280 mm","Concrete Pavement 11 inches")</f>
        <v>Concrete Pavement 11 inches</v>
      </c>
      <c r="M39" s="5">
        <f>IF($F$5="M",0.93,0.78)</f>
        <v>0.78</v>
      </c>
      <c r="N39" s="6"/>
      <c r="O39" s="50"/>
      <c r="P39" s="50"/>
    </row>
    <row r="40" spans="9:14" ht="12.75">
      <c r="I40" s="41"/>
      <c r="J40" s="41"/>
      <c r="K40" s="7"/>
      <c r="L40" s="4" t="str">
        <f>IF($F$5="M","Concrete Pavement 290 mm","Concrete Pavement 11 1/2 inches")</f>
        <v>Concrete Pavement 11 1/2 inches</v>
      </c>
      <c r="M40" s="5">
        <f>IF($F$5="M",0.96,0.81)</f>
        <v>0.81</v>
      </c>
      <c r="N40" s="6"/>
    </row>
    <row r="41" spans="1:14" ht="12.75">
      <c r="A41" s="42"/>
      <c r="B41" s="43"/>
      <c r="C41" s="44"/>
      <c r="D41" s="44"/>
      <c r="E41" s="45"/>
      <c r="F41" s="46"/>
      <c r="G41" s="47"/>
      <c r="H41" s="47"/>
      <c r="I41" s="47"/>
      <c r="J41" s="47"/>
      <c r="K41" s="7"/>
      <c r="L41" s="4" t="str">
        <f>IF($F$5="M","Concrete Pavement 300 mm","Concrete Pavement 12 inches")</f>
        <v>Concrete Pavement 12 inches</v>
      </c>
      <c r="M41" s="5">
        <f>IF($F$5="M",0.99,0.83)</f>
        <v>0.83</v>
      </c>
      <c r="N41" s="6"/>
    </row>
    <row r="42" spans="1:14" ht="12.75">
      <c r="A42" s="42"/>
      <c r="B42" s="43"/>
      <c r="C42" s="44"/>
      <c r="D42" s="44"/>
      <c r="E42" s="45"/>
      <c r="F42" s="46"/>
      <c r="G42" s="47"/>
      <c r="H42" s="47"/>
      <c r="I42" s="47"/>
      <c r="J42" s="47"/>
      <c r="K42" s="7"/>
      <c r="L42" s="4" t="str">
        <f>IF($F$5="M","Concrete Pavement 320 mm","Concrete Pavement 12 1/2 inches")</f>
        <v>Concrete Pavement 12 1/2 inches</v>
      </c>
      <c r="M42" s="5">
        <f>IF($F$5="M",1.02,0.86)</f>
        <v>0.86</v>
      </c>
      <c r="N42" s="6"/>
    </row>
    <row r="43" spans="1:14" ht="12.75">
      <c r="A43" s="42"/>
      <c r="B43" s="43"/>
      <c r="C43" s="44"/>
      <c r="D43" s="44"/>
      <c r="E43" s="45"/>
      <c r="F43" s="46"/>
      <c r="G43" s="47"/>
      <c r="H43" s="47"/>
      <c r="I43" s="47"/>
      <c r="J43" s="47"/>
      <c r="K43" s="7"/>
      <c r="L43" s="4" t="str">
        <f>IF($F$5="M","Concrete Pavement 330 mm","Concrete Pavement 13 inches")</f>
        <v>Concrete Pavement 13 inches</v>
      </c>
      <c r="M43" s="5">
        <f>IF($F$5="M",1.06,0.89)</f>
        <v>0.89</v>
      </c>
      <c r="N43" s="6"/>
    </row>
    <row r="44" spans="1:14" ht="12.75">
      <c r="A44" s="42"/>
      <c r="B44" s="43"/>
      <c r="C44" s="44"/>
      <c r="D44" s="44"/>
      <c r="E44" s="45"/>
      <c r="F44" s="46"/>
      <c r="G44" s="47"/>
      <c r="H44" s="47"/>
      <c r="I44" s="47"/>
      <c r="J44" s="47"/>
      <c r="K44" s="7"/>
      <c r="L44" s="4" t="str">
        <f>IF($F$5="M","Concrete Pavement 340 mm","Concrete Pavement 13 1/2 inches")</f>
        <v>Concrete Pavement 13 1/2 inches</v>
      </c>
      <c r="M44" s="5">
        <f>IF($F$5="M",1.1,0.92)</f>
        <v>0.92</v>
      </c>
      <c r="N44" s="6"/>
    </row>
    <row r="45" spans="1:14" ht="12.75">
      <c r="A45" s="42"/>
      <c r="B45" s="43"/>
      <c r="C45" s="44"/>
      <c r="D45" s="44"/>
      <c r="E45" s="45"/>
      <c r="F45" s="46"/>
      <c r="G45" s="47"/>
      <c r="H45" s="47"/>
      <c r="I45" s="47"/>
      <c r="J45" s="47"/>
      <c r="K45" s="7"/>
      <c r="L45" s="4" t="str">
        <f>IF($F$5="M","Concrete Pavement 360 mm","Concrete Pavement 14 inches")</f>
        <v>Concrete Pavement 14 inches</v>
      </c>
      <c r="M45" s="5">
        <f>IF($F$5="M",1.14,0.95)</f>
        <v>0.95</v>
      </c>
      <c r="N45" s="6"/>
    </row>
    <row r="46" spans="1:14" ht="12.75">
      <c r="A46" s="48"/>
      <c r="B46" s="48"/>
      <c r="C46" s="48"/>
      <c r="D46" s="48"/>
      <c r="E46" s="49"/>
      <c r="F46" s="48"/>
      <c r="G46" s="48"/>
      <c r="H46" s="48"/>
      <c r="I46" s="48"/>
      <c r="J46" s="48"/>
      <c r="K46" s="7"/>
      <c r="L46" s="4" t="str">
        <f>IF($F$5="M","Concrete Pavement 370 mm","Concrete Pavement 14 1/2 inches")</f>
        <v>Concrete Pavement 14 1/2 inches</v>
      </c>
      <c r="M46" s="5">
        <f>IF($F$5="M",1.17,0.98)</f>
        <v>0.98</v>
      </c>
      <c r="N46" s="6"/>
    </row>
    <row r="47" spans="1:14" ht="12.75">
      <c r="A47" s="50"/>
      <c r="B47" s="50"/>
      <c r="C47" s="50"/>
      <c r="D47" s="50"/>
      <c r="E47" s="51"/>
      <c r="F47" s="50"/>
      <c r="G47" s="50"/>
      <c r="H47" s="50"/>
      <c r="I47" s="50"/>
      <c r="J47" s="50"/>
      <c r="K47" s="7"/>
      <c r="L47" s="4" t="s">
        <v>60</v>
      </c>
      <c r="M47" s="5">
        <f>IF($F$5="M",334.65,10.2)</f>
        <v>10.2</v>
      </c>
      <c r="N47" s="6"/>
    </row>
    <row r="48" spans="1:14" ht="12.75">
      <c r="A48" s="50"/>
      <c r="B48" s="50"/>
      <c r="C48" s="50"/>
      <c r="D48" s="50"/>
      <c r="E48" s="51"/>
      <c r="F48" s="50"/>
      <c r="G48" s="50"/>
      <c r="H48" s="50"/>
      <c r="I48" s="50"/>
      <c r="J48" s="50"/>
      <c r="K48" s="7"/>
      <c r="L48" s="4" t="s">
        <v>59</v>
      </c>
      <c r="M48" s="5">
        <f>IF($F$5="M",2.65,2.4)</f>
        <v>2.4</v>
      </c>
      <c r="N48" s="6"/>
    </row>
    <row r="49" spans="1:14" ht="12.75">
      <c r="A49" s="50"/>
      <c r="B49" s="50"/>
      <c r="C49" s="50"/>
      <c r="D49" s="50"/>
      <c r="E49" s="51"/>
      <c r="F49" s="50"/>
      <c r="G49" s="50"/>
      <c r="H49" s="50"/>
      <c r="I49" s="50"/>
      <c r="J49" s="50"/>
      <c r="K49" s="7"/>
      <c r="L49" s="4" t="s">
        <v>64</v>
      </c>
      <c r="M49" s="5">
        <f>IF($F$5="M",2.65,2.4)</f>
        <v>2.4</v>
      </c>
      <c r="N49" s="6"/>
    </row>
    <row r="50" spans="1:14" ht="12.75">
      <c r="A50" s="50"/>
      <c r="B50" s="50"/>
      <c r="C50" s="50"/>
      <c r="D50" s="50"/>
      <c r="E50" s="51"/>
      <c r="F50" s="50"/>
      <c r="G50" s="50"/>
      <c r="H50" s="50"/>
      <c r="I50" s="50"/>
      <c r="J50" s="50"/>
      <c r="K50" s="7"/>
      <c r="L50" s="4" t="s">
        <v>65</v>
      </c>
      <c r="M50" s="5">
        <f>IF($F$5="M",2.65,2.4)</f>
        <v>2.4</v>
      </c>
      <c r="N50" s="6"/>
    </row>
    <row r="51" spans="11:13" ht="12.75">
      <c r="K51" s="7"/>
      <c r="L51" s="4"/>
      <c r="M51" s="5"/>
    </row>
    <row r="52" spans="11:13" ht="12.75">
      <c r="K52" s="7"/>
      <c r="L52" s="6"/>
      <c r="M52" s="6"/>
    </row>
    <row r="53" spans="11:13" ht="12.75">
      <c r="K53" s="7"/>
      <c r="L53" s="37"/>
      <c r="M53" s="37"/>
    </row>
    <row r="54" spans="11:13" ht="12.75">
      <c r="K54" s="7"/>
      <c r="L54" s="37"/>
      <c r="M54" s="37"/>
    </row>
    <row r="55" spans="12:13" ht="12.75">
      <c r="L55" s="37"/>
      <c r="M55" s="37"/>
    </row>
    <row r="56" spans="12:13" ht="12.75">
      <c r="L56" s="37"/>
      <c r="M56" s="37"/>
    </row>
    <row r="57" spans="12:13" ht="12.75">
      <c r="L57" s="37"/>
      <c r="M57" s="37"/>
    </row>
    <row r="58" spans="12:13" ht="12.75">
      <c r="L58" s="37"/>
      <c r="M58" s="37"/>
    </row>
    <row r="59" spans="12:13" ht="12.75">
      <c r="L59" s="37"/>
      <c r="M59" s="37"/>
    </row>
    <row r="60" spans="12:13" ht="12.75">
      <c r="L60" s="37"/>
      <c r="M60" s="37"/>
    </row>
    <row r="61" spans="12:13" ht="12.75">
      <c r="L61" s="37"/>
      <c r="M61" s="37"/>
    </row>
    <row r="62" spans="12:13" ht="12.75">
      <c r="L62" s="37"/>
      <c r="M62" s="37"/>
    </row>
    <row r="63" spans="12:13" ht="12.75">
      <c r="L63" s="37"/>
      <c r="M63" s="37"/>
    </row>
    <row r="64" spans="12:13" ht="12.75">
      <c r="L64" s="37"/>
      <c r="M64" s="37"/>
    </row>
    <row r="65" spans="12:13" ht="12.75">
      <c r="L65" s="37"/>
      <c r="M65" s="37"/>
    </row>
    <row r="66" spans="12:13" ht="12.75">
      <c r="L66" s="37"/>
      <c r="M66" s="37"/>
    </row>
    <row r="67" spans="12:13" ht="12.75">
      <c r="L67" s="37"/>
      <c r="M67" s="37"/>
    </row>
    <row r="68" spans="12:13" ht="12.75">
      <c r="L68" s="37"/>
      <c r="M68" s="37"/>
    </row>
    <row r="69" spans="12:13" ht="12.75">
      <c r="L69" s="37"/>
      <c r="M69" s="37"/>
    </row>
    <row r="70" ht="12.75">
      <c r="L70" s="37"/>
    </row>
    <row r="71" ht="12.75">
      <c r="L71" s="37"/>
    </row>
    <row r="72" ht="12.75">
      <c r="L72" s="37"/>
    </row>
  </sheetData>
  <sheetProtection password="BF11" sheet="1" objects="1" scenarios="1" selectLockedCells="1"/>
  <mergeCells count="4">
    <mergeCell ref="F3:H3"/>
    <mergeCell ref="F4:H4"/>
    <mergeCell ref="D5:E5"/>
    <mergeCell ref="B6:E6"/>
  </mergeCells>
  <dataValidations count="1">
    <dataValidation type="list" allowBlank="1" showInputMessage="1" showErrorMessage="1" promptTitle="Data Entry Restriction!" prompt="Please select one item from this drop down box. No other values will be accepted." errorTitle="Wrong data!" error="Please enter a value from the drop down list." sqref="B6:E6">
      <formula1>$L$7:$L$50</formula1>
    </dataValidation>
  </dataValidations>
  <printOptions/>
  <pageMargins left="1.06" right="0.5" top="0.5" bottom="0" header="0.5" footer="0"/>
  <pageSetup blackAndWhite="1" fitToHeight="1" fitToWidth="1" horizontalDpi="600" verticalDpi="600" orientation="portrait" scale="9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"/>
  <sheetViews>
    <sheetView showGridLines="0" showRowColHeaders="0" zoomScalePageLayoutView="0" workbookViewId="0" topLeftCell="A1">
      <selection activeCell="B6" sqref="B6:E6"/>
    </sheetView>
  </sheetViews>
  <sheetFormatPr defaultColWidth="9.140625" defaultRowHeight="12.75"/>
  <cols>
    <col min="1" max="1" width="13.00390625" style="0" customWidth="1"/>
    <col min="2" max="2" width="13.28125" style="0" customWidth="1"/>
    <col min="3" max="3" width="9.00390625" style="0" customWidth="1"/>
    <col min="4" max="4" width="9.28125" style="0" customWidth="1"/>
    <col min="5" max="5" width="11.00390625" style="1" customWidth="1"/>
    <col min="6" max="6" width="10.57421875" style="0" customWidth="1"/>
    <col min="7" max="8" width="16.00390625" style="0" bestFit="1" customWidth="1"/>
    <col min="11" max="11" width="3.57421875" style="0" customWidth="1"/>
    <col min="12" max="12" width="47.00390625" style="0" hidden="1" customWidth="1"/>
    <col min="13" max="13" width="8.28125" style="0" hidden="1" customWidth="1"/>
    <col min="14" max="14" width="7.140625" style="0" customWidth="1"/>
    <col min="15" max="16" width="9.140625" style="0" customWidth="1"/>
  </cols>
  <sheetData>
    <row r="1" spans="1:16" ht="15">
      <c r="A1" s="8"/>
      <c r="B1" s="8"/>
      <c r="C1" s="9" t="s">
        <v>67</v>
      </c>
      <c r="D1" s="8"/>
      <c r="E1" s="10"/>
      <c r="F1" s="8"/>
      <c r="G1" s="8"/>
      <c r="H1" s="8"/>
      <c r="I1" s="52"/>
      <c r="J1" s="52"/>
      <c r="K1" s="50"/>
      <c r="L1" s="50"/>
      <c r="M1" s="50"/>
      <c r="N1" s="50"/>
      <c r="O1" s="50"/>
      <c r="P1" s="50"/>
    </row>
    <row r="2" spans="1:16" ht="17.25" customHeight="1">
      <c r="A2" s="8"/>
      <c r="B2" s="8"/>
      <c r="C2" s="8"/>
      <c r="D2" s="8"/>
      <c r="E2" s="10"/>
      <c r="F2" s="8"/>
      <c r="G2" s="8"/>
      <c r="H2" s="8"/>
      <c r="I2" s="52"/>
      <c r="J2" s="52"/>
      <c r="K2" s="50"/>
      <c r="L2" s="50"/>
      <c r="M2" s="50"/>
      <c r="N2" s="50"/>
      <c r="O2" s="50"/>
      <c r="P2" s="50"/>
    </row>
    <row r="3" spans="1:16" ht="21" customHeight="1">
      <c r="A3" s="11"/>
      <c r="B3" s="12"/>
      <c r="C3" s="11"/>
      <c r="D3" s="11"/>
      <c r="E3" s="63" t="s">
        <v>42</v>
      </c>
      <c r="F3" s="97">
        <f>IF('Item 1'!F3:H3="","",'Item 1'!F3:H3)</f>
      </c>
      <c r="G3" s="97"/>
      <c r="H3" s="97"/>
      <c r="I3" s="53"/>
      <c r="J3" s="53"/>
      <c r="K3" s="50"/>
      <c r="L3" s="50"/>
      <c r="M3" s="50"/>
      <c r="N3" s="50"/>
      <c r="O3" s="50"/>
      <c r="P3" s="50"/>
    </row>
    <row r="4" spans="1:16" ht="21" customHeight="1">
      <c r="A4" s="13" t="s">
        <v>43</v>
      </c>
      <c r="B4" s="82">
        <f>IF('Item 1'!B4="","",'Item 1'!B4)</f>
      </c>
      <c r="C4" s="38"/>
      <c r="D4" s="11"/>
      <c r="E4" s="64" t="s">
        <v>41</v>
      </c>
      <c r="F4" s="98">
        <f>IF('Item 1'!F4:H4="","",'Item 1'!F4:H4)</f>
      </c>
      <c r="G4" s="99"/>
      <c r="H4" s="100"/>
      <c r="I4" s="53"/>
      <c r="J4" s="53"/>
      <c r="K4" s="50"/>
      <c r="L4" s="57"/>
      <c r="M4" s="50"/>
      <c r="N4" s="50"/>
      <c r="O4" s="50"/>
      <c r="P4" s="50"/>
    </row>
    <row r="5" spans="1:16" ht="21" customHeight="1">
      <c r="A5" s="79" t="s">
        <v>44</v>
      </c>
      <c r="B5" s="15"/>
      <c r="C5" s="81">
        <f>IF('Item 1'!C5="","",'Item 1'!C5)</f>
      </c>
      <c r="D5" s="95" t="s">
        <v>46</v>
      </c>
      <c r="E5" s="96"/>
      <c r="F5" s="80">
        <f>IF('Item 1'!F5="","",'Item 1'!F5)</f>
      </c>
      <c r="G5" s="65" t="s">
        <v>45</v>
      </c>
      <c r="H5" s="60">
        <f>IF(B6="","",VLOOKUP(B6,L7:M50,2,FALSE))</f>
      </c>
      <c r="I5" s="53"/>
      <c r="J5" s="53"/>
      <c r="K5" s="4"/>
      <c r="L5" s="56"/>
      <c r="N5" s="4"/>
      <c r="O5" s="50"/>
      <c r="P5" s="50"/>
    </row>
    <row r="6" spans="1:16" ht="21" customHeight="1">
      <c r="A6" s="79" t="s">
        <v>20</v>
      </c>
      <c r="B6" s="88"/>
      <c r="C6" s="89"/>
      <c r="D6" s="89"/>
      <c r="E6" s="90"/>
      <c r="F6" s="58"/>
      <c r="H6" s="59"/>
      <c r="I6" s="53"/>
      <c r="J6" s="53"/>
      <c r="K6" s="4"/>
      <c r="L6" s="4" t="s">
        <v>21</v>
      </c>
      <c r="M6" s="4" t="s">
        <v>37</v>
      </c>
      <c r="O6" s="50"/>
      <c r="P6" s="4"/>
    </row>
    <row r="7" spans="1:16" ht="12.75">
      <c r="A7" s="11"/>
      <c r="B7" s="11"/>
      <c r="C7" s="17"/>
      <c r="D7" s="11"/>
      <c r="E7" s="7"/>
      <c r="F7" s="11"/>
      <c r="G7" s="11"/>
      <c r="H7" s="11"/>
      <c r="I7" s="53"/>
      <c r="J7" s="53"/>
      <c r="K7" s="4"/>
      <c r="L7" s="4" t="s">
        <v>22</v>
      </c>
      <c r="M7" s="5">
        <f>IF($F$5="M",0.33,0.25)</f>
        <v>0.25</v>
      </c>
      <c r="O7" s="50"/>
      <c r="P7" s="5"/>
    </row>
    <row r="8" spans="1:16" ht="12.75">
      <c r="A8" s="18" t="s">
        <v>0</v>
      </c>
      <c r="B8" s="18" t="s">
        <v>18</v>
      </c>
      <c r="C8" s="19" t="s">
        <v>2</v>
      </c>
      <c r="D8" s="18" t="s">
        <v>5</v>
      </c>
      <c r="E8" s="20" t="s">
        <v>8</v>
      </c>
      <c r="F8" s="18" t="s">
        <v>10</v>
      </c>
      <c r="G8" s="18" t="s">
        <v>13</v>
      </c>
      <c r="H8" s="18" t="s">
        <v>8</v>
      </c>
      <c r="I8" s="54"/>
      <c r="J8" s="54"/>
      <c r="K8" s="4"/>
      <c r="L8" s="4" t="s">
        <v>61</v>
      </c>
      <c r="M8" s="5">
        <f>IF($F$5="M",0.33,0.25)</f>
        <v>0.25</v>
      </c>
      <c r="O8" s="50"/>
      <c r="P8" s="5"/>
    </row>
    <row r="9" spans="1:16" ht="12.75">
      <c r="A9" s="21"/>
      <c r="B9" s="22" t="s">
        <v>16</v>
      </c>
      <c r="C9" s="22" t="s">
        <v>3</v>
      </c>
      <c r="D9" s="22" t="s">
        <v>6</v>
      </c>
      <c r="E9" s="23"/>
      <c r="F9" s="22" t="s">
        <v>11</v>
      </c>
      <c r="G9" s="22" t="s">
        <v>14</v>
      </c>
      <c r="H9" s="22" t="s">
        <v>9</v>
      </c>
      <c r="I9" s="54"/>
      <c r="J9" s="54"/>
      <c r="K9" s="4"/>
      <c r="L9" s="4" t="s">
        <v>19</v>
      </c>
      <c r="M9" s="5">
        <f>IF($F$5="M",0.43,0.33)</f>
        <v>0.33</v>
      </c>
      <c r="O9" s="50"/>
      <c r="P9" s="5"/>
    </row>
    <row r="10" spans="1:16" ht="12.75">
      <c r="A10" s="24" t="s">
        <v>1</v>
      </c>
      <c r="B10" s="24" t="s">
        <v>17</v>
      </c>
      <c r="C10" s="24" t="s">
        <v>4</v>
      </c>
      <c r="D10" s="24" t="s">
        <v>7</v>
      </c>
      <c r="E10" s="25" t="s">
        <v>9</v>
      </c>
      <c r="F10" s="24" t="s">
        <v>12</v>
      </c>
      <c r="G10" s="24" t="s">
        <v>15</v>
      </c>
      <c r="H10" s="24" t="s">
        <v>15</v>
      </c>
      <c r="I10" s="54"/>
      <c r="J10" s="54"/>
      <c r="K10" s="4"/>
      <c r="L10" s="4" t="s">
        <v>62</v>
      </c>
      <c r="M10" s="5">
        <f>IF($F$5="M",0.43,0.33)</f>
        <v>0.33</v>
      </c>
      <c r="O10" s="50"/>
      <c r="P10" s="5"/>
    </row>
    <row r="11" spans="1:16" ht="22.5" customHeight="1">
      <c r="A11" s="26"/>
      <c r="B11" s="27"/>
      <c r="C11" s="61">
        <f>IF(H5="","",ABS($H$5))</f>
      </c>
      <c r="D11" s="28"/>
      <c r="E11" s="29">
        <f>IF(D11="","",+D11)</f>
      </c>
      <c r="F11" s="30">
        <f>+IF(B11="","",(B11-$C$5))</f>
      </c>
      <c r="G11" s="62">
        <f>IF(C11="","",IF(F11="","",+C11*D11*F11))</f>
      </c>
      <c r="H11" s="62">
        <f>+G11</f>
      </c>
      <c r="I11" s="54"/>
      <c r="J11" s="54"/>
      <c r="K11" s="4"/>
      <c r="L11" s="4" t="s">
        <v>24</v>
      </c>
      <c r="M11" s="5">
        <f>IF($F$5="M",0.38,0.29)</f>
        <v>0.29</v>
      </c>
      <c r="O11" s="50"/>
      <c r="P11" s="5"/>
    </row>
    <row r="12" spans="1:16" ht="22.5" customHeight="1">
      <c r="A12" s="26"/>
      <c r="B12" s="31"/>
      <c r="C12" s="61">
        <f>IF(B12="","",ABS($H$5))</f>
      </c>
      <c r="D12" s="16"/>
      <c r="E12" s="29">
        <f>IF(D12="","",+D12+E11)</f>
      </c>
      <c r="F12" s="30">
        <f aca="true" t="shared" si="0" ref="F12:F38">+IF(B12="","",(B12-$C$5))</f>
      </c>
      <c r="G12" s="62">
        <f>IF(C12="","",IF(F12="","",+C12*D12*F12))</f>
      </c>
      <c r="H12" s="62">
        <f>IF(G12="","",+H11+G12)</f>
      </c>
      <c r="I12" s="55"/>
      <c r="J12" s="55"/>
      <c r="K12" s="4"/>
      <c r="L12" s="4" t="s">
        <v>25</v>
      </c>
      <c r="M12" s="5">
        <f>IF($F$5="M",0.39,0.3)</f>
        <v>0.3</v>
      </c>
      <c r="O12" s="50"/>
      <c r="P12" s="5"/>
    </row>
    <row r="13" spans="1:16" ht="22.5" customHeight="1">
      <c r="A13" s="26"/>
      <c r="B13" s="31"/>
      <c r="C13" s="61">
        <f aca="true" t="shared" si="1" ref="C13:C38">IF(B13="","",ABS($H$5))</f>
      </c>
      <c r="D13" s="16"/>
      <c r="E13" s="29">
        <f aca="true" t="shared" si="2" ref="E13:E38">IF(D13="","",+D13+E12)</f>
      </c>
      <c r="F13" s="30">
        <f t="shared" si="0"/>
      </c>
      <c r="G13" s="62">
        <f>IF(C13="","",IF(F13="","",+C13*D13*F13))</f>
      </c>
      <c r="H13" s="62">
        <f aca="true" t="shared" si="3" ref="H13:H38">IF(G13="","",+H12+G13)</f>
      </c>
      <c r="I13" s="55"/>
      <c r="J13" s="55"/>
      <c r="K13" s="4"/>
      <c r="L13" s="4" t="s">
        <v>63</v>
      </c>
      <c r="M13" s="5">
        <f>IF($F$5="M",0.36,0.3)</f>
        <v>0.3</v>
      </c>
      <c r="O13" s="50"/>
      <c r="P13" s="5"/>
    </row>
    <row r="14" spans="1:16" ht="22.5" customHeight="1">
      <c r="A14" s="26"/>
      <c r="B14" s="31"/>
      <c r="C14" s="61">
        <f t="shared" si="1"/>
      </c>
      <c r="D14" s="16"/>
      <c r="E14" s="29">
        <f t="shared" si="2"/>
      </c>
      <c r="F14" s="30">
        <f t="shared" si="0"/>
      </c>
      <c r="G14" s="62">
        <f>IF(C14="","",IF(F14="","",+C14*D14*F14))</f>
      </c>
      <c r="H14" s="62">
        <f t="shared" si="3"/>
      </c>
      <c r="I14" s="55"/>
      <c r="J14" s="55"/>
      <c r="K14" s="66"/>
      <c r="L14" s="4" t="str">
        <f>IF($F$5="M","Concrete Placement:  75mm","Concrete Placement:  3 inches")</f>
        <v>Concrete Placement:  3 inches</v>
      </c>
      <c r="M14" s="5">
        <f>IF($F$5="M",0.36,0.3)</f>
        <v>0.3</v>
      </c>
      <c r="O14" s="50"/>
      <c r="P14" s="67"/>
    </row>
    <row r="15" spans="1:16" ht="22.5" customHeight="1">
      <c r="A15" s="26"/>
      <c r="B15" s="31"/>
      <c r="C15" s="61">
        <f t="shared" si="1"/>
      </c>
      <c r="D15" s="16"/>
      <c r="E15" s="29">
        <f t="shared" si="2"/>
      </c>
      <c r="F15" s="30">
        <f t="shared" si="0"/>
      </c>
      <c r="G15" s="62">
        <f>IF(C15="","",IF(F15="","",+C15*D15*F15))</f>
      </c>
      <c r="H15" s="62">
        <f t="shared" si="3"/>
      </c>
      <c r="I15" s="55"/>
      <c r="J15" s="55"/>
      <c r="K15" s="66"/>
      <c r="L15" s="4" t="str">
        <f>IF($F$5="M","","Concrete Placement:  3.5 inches")</f>
        <v>Concrete Placement:  3.5 inches</v>
      </c>
      <c r="M15" s="5">
        <f>IF($F$5="M",0.39,0.33)</f>
        <v>0.33</v>
      </c>
      <c r="O15" s="50"/>
      <c r="P15" s="67"/>
    </row>
    <row r="16" spans="1:16" ht="22.5" customHeight="1">
      <c r="A16" s="26"/>
      <c r="B16" s="31"/>
      <c r="C16" s="61">
        <f t="shared" si="1"/>
      </c>
      <c r="D16" s="16"/>
      <c r="E16" s="29">
        <f t="shared" si="2"/>
      </c>
      <c r="F16" s="30">
        <f t="shared" si="0"/>
      </c>
      <c r="G16" s="62">
        <f aca="true" t="shared" si="4" ref="G16:G38">IF(F16="","",+C16*D16*F16)</f>
      </c>
      <c r="H16" s="62">
        <f t="shared" si="3"/>
      </c>
      <c r="I16" s="55"/>
      <c r="J16" s="55"/>
      <c r="K16" s="4"/>
      <c r="L16" s="4" t="str">
        <f>IF($F$5="M","Concrete Placement:  100mm","Concrete Placement:  4 inches")</f>
        <v>Concrete Placement:  4 inches</v>
      </c>
      <c r="M16" s="5">
        <f>IF($F$5="M",0.43,0.36)</f>
        <v>0.36</v>
      </c>
      <c r="O16" s="50"/>
      <c r="P16" s="5"/>
    </row>
    <row r="17" spans="1:16" ht="22.5" customHeight="1">
      <c r="A17" s="26"/>
      <c r="B17" s="31"/>
      <c r="C17" s="61">
        <f t="shared" si="1"/>
      </c>
      <c r="D17" s="16"/>
      <c r="E17" s="29">
        <f t="shared" si="2"/>
      </c>
      <c r="F17" s="30">
        <f t="shared" si="0"/>
      </c>
      <c r="G17" s="62">
        <f t="shared" si="4"/>
      </c>
      <c r="H17" s="62">
        <f t="shared" si="3"/>
      </c>
      <c r="I17" s="55"/>
      <c r="J17" s="55"/>
      <c r="K17" s="66"/>
      <c r="L17" s="4" t="str">
        <f>IF($F$5="M","","Concrete Placement:  4.5 inches")</f>
        <v>Concrete Placement:  4.5 inches</v>
      </c>
      <c r="M17" s="5">
        <f>IF($F$5="M",0.46,0.39)</f>
        <v>0.39</v>
      </c>
      <c r="O17" s="50"/>
      <c r="P17" s="67"/>
    </row>
    <row r="18" spans="1:16" ht="22.5" customHeight="1">
      <c r="A18" s="26"/>
      <c r="B18" s="31"/>
      <c r="C18" s="61">
        <f t="shared" si="1"/>
      </c>
      <c r="D18" s="16"/>
      <c r="E18" s="29">
        <f t="shared" si="2"/>
      </c>
      <c r="F18" s="30">
        <f t="shared" si="0"/>
      </c>
      <c r="G18" s="62">
        <f t="shared" si="4"/>
      </c>
      <c r="H18" s="62">
        <f t="shared" si="3"/>
      </c>
      <c r="I18" s="55"/>
      <c r="J18" s="55"/>
      <c r="K18" s="4"/>
      <c r="L18" s="4" t="str">
        <f>IF($F$5="M","Concrete Placement:  140mm","Concrete Placement:  5 inches")</f>
        <v>Concrete Placement:  5 inches</v>
      </c>
      <c r="M18" s="5">
        <f>IF($F$5="M",0.5,0.42)</f>
        <v>0.42</v>
      </c>
      <c r="O18" s="50"/>
      <c r="P18" s="5"/>
    </row>
    <row r="19" spans="1:16" ht="22.5" customHeight="1">
      <c r="A19" s="26"/>
      <c r="B19" s="31"/>
      <c r="C19" s="61">
        <f t="shared" si="1"/>
      </c>
      <c r="D19" s="16"/>
      <c r="E19" s="29">
        <f t="shared" si="2"/>
      </c>
      <c r="F19" s="30">
        <f t="shared" si="0"/>
      </c>
      <c r="G19" s="62">
        <f t="shared" si="4"/>
      </c>
      <c r="H19" s="62">
        <f t="shared" si="3"/>
      </c>
      <c r="I19" s="55"/>
      <c r="J19" s="55"/>
      <c r="K19" s="66"/>
      <c r="L19" s="4" t="str">
        <f>IF($F$5="M","","Concrete Placement:  5.5 inches")</f>
        <v>Concrete Placement:  5.5 inches</v>
      </c>
      <c r="M19" s="5">
        <f>IF($F$5="M",0.53,0.45)</f>
        <v>0.45</v>
      </c>
      <c r="O19" s="50"/>
      <c r="P19" s="67"/>
    </row>
    <row r="20" spans="1:16" ht="21" customHeight="1">
      <c r="A20" s="26"/>
      <c r="B20" s="31"/>
      <c r="C20" s="61">
        <f t="shared" si="1"/>
      </c>
      <c r="D20" s="16"/>
      <c r="E20" s="29">
        <f t="shared" si="2"/>
      </c>
      <c r="F20" s="30">
        <f t="shared" si="0"/>
      </c>
      <c r="G20" s="62">
        <f t="shared" si="4"/>
      </c>
      <c r="H20" s="62">
        <f t="shared" si="3"/>
      </c>
      <c r="I20" s="55"/>
      <c r="J20" s="55"/>
      <c r="K20" s="4"/>
      <c r="L20" s="4" t="str">
        <f>IF($F$5="M","Concrete Placement:  160mm","Concrete Placement:  6 inches")</f>
        <v>Concrete Placement:  6 inches</v>
      </c>
      <c r="M20" s="5">
        <f>IF($F$5="M",0.57,0.48)</f>
        <v>0.48</v>
      </c>
      <c r="O20" s="50"/>
      <c r="P20" s="5"/>
    </row>
    <row r="21" spans="1:16" ht="21" customHeight="1">
      <c r="A21" s="26"/>
      <c r="B21" s="31"/>
      <c r="C21" s="61">
        <f t="shared" si="1"/>
      </c>
      <c r="D21" s="16"/>
      <c r="E21" s="29">
        <f t="shared" si="2"/>
      </c>
      <c r="F21" s="30">
        <f t="shared" si="0"/>
      </c>
      <c r="G21" s="62">
        <f t="shared" si="4"/>
      </c>
      <c r="H21" s="62">
        <f t="shared" si="3"/>
      </c>
      <c r="I21" s="55"/>
      <c r="J21" s="55"/>
      <c r="K21" s="66"/>
      <c r="L21" s="4" t="str">
        <f>IF($F$5="M","Bonded Concrete Pavement (75mm)","Bonded Concrete Pavement (3 inches)")</f>
        <v>Bonded Concrete Pavement (3 inches)</v>
      </c>
      <c r="M21" s="5">
        <f>IF($F$5="M",0.36,0.3)</f>
        <v>0.3</v>
      </c>
      <c r="O21" s="50"/>
      <c r="P21" s="67"/>
    </row>
    <row r="22" spans="1:16" ht="21" customHeight="1">
      <c r="A22" s="26"/>
      <c r="B22" s="31"/>
      <c r="C22" s="61">
        <f t="shared" si="1"/>
      </c>
      <c r="D22" s="16"/>
      <c r="E22" s="29">
        <f t="shared" si="2"/>
      </c>
      <c r="F22" s="30">
        <f t="shared" si="0"/>
      </c>
      <c r="G22" s="62">
        <f t="shared" si="4"/>
      </c>
      <c r="H22" s="62">
        <f t="shared" si="3"/>
      </c>
      <c r="I22" s="55"/>
      <c r="J22" s="55"/>
      <c r="K22" s="4"/>
      <c r="L22" s="4" t="str">
        <f>IF($F$5="M","","Bonded Concrete Pavement (3.5 inches)")</f>
        <v>Bonded Concrete Pavement (3.5 inches)</v>
      </c>
      <c r="M22" s="5">
        <f>IF($F$5="M",0.39,0.33)</f>
        <v>0.33</v>
      </c>
      <c r="O22" s="50"/>
      <c r="P22" s="5"/>
    </row>
    <row r="23" spans="1:16" ht="22.5" customHeight="1">
      <c r="A23" s="26"/>
      <c r="B23" s="31"/>
      <c r="C23" s="61">
        <f t="shared" si="1"/>
      </c>
      <c r="D23" s="16"/>
      <c r="E23" s="29">
        <f t="shared" si="2"/>
      </c>
      <c r="F23" s="30">
        <f t="shared" si="0"/>
      </c>
      <c r="G23" s="62">
        <f t="shared" si="4"/>
      </c>
      <c r="H23" s="62">
        <f t="shared" si="3"/>
      </c>
      <c r="I23" s="55"/>
      <c r="J23" s="55"/>
      <c r="K23" s="66"/>
      <c r="L23" s="4" t="str">
        <f>IF($F$5="M","Bonded Concrete Pavement (100mm)","Bonded Concrete Pavement (4 inches)")</f>
        <v>Bonded Concrete Pavement (4 inches)</v>
      </c>
      <c r="M23" s="5">
        <f>IF($F$5="M",0.43,0.36)</f>
        <v>0.36</v>
      </c>
      <c r="O23" s="50"/>
      <c r="P23" s="67"/>
    </row>
    <row r="24" spans="1:16" ht="22.5" customHeight="1">
      <c r="A24" s="26"/>
      <c r="B24" s="31"/>
      <c r="C24" s="61">
        <f t="shared" si="1"/>
      </c>
      <c r="D24" s="16"/>
      <c r="E24" s="29">
        <f t="shared" si="2"/>
      </c>
      <c r="F24" s="30">
        <f t="shared" si="0"/>
      </c>
      <c r="G24" s="62">
        <f t="shared" si="4"/>
      </c>
      <c r="H24" s="62">
        <f t="shared" si="3"/>
      </c>
      <c r="I24" s="55"/>
      <c r="J24" s="55"/>
      <c r="K24" s="4"/>
      <c r="L24" s="4" t="str">
        <f>IF($F$5="M","","Bonded Concrete Pavement (4.5 inches)")</f>
        <v>Bonded Concrete Pavement (4.5 inches)</v>
      </c>
      <c r="M24" s="5">
        <f>IF($F$5="M",0.46,0.39)</f>
        <v>0.39</v>
      </c>
      <c r="O24" s="50"/>
      <c r="P24" s="5"/>
    </row>
    <row r="25" spans="1:16" ht="22.5" customHeight="1">
      <c r="A25" s="26"/>
      <c r="B25" s="31"/>
      <c r="C25" s="61">
        <f t="shared" si="1"/>
      </c>
      <c r="D25" s="16"/>
      <c r="E25" s="29">
        <f t="shared" si="2"/>
      </c>
      <c r="F25" s="30">
        <f t="shared" si="0"/>
      </c>
      <c r="G25" s="62">
        <f t="shared" si="4"/>
      </c>
      <c r="H25" s="62">
        <f t="shared" si="3"/>
      </c>
      <c r="I25" s="55"/>
      <c r="J25" s="55"/>
      <c r="K25" s="66"/>
      <c r="L25" s="4" t="str">
        <f>IF($F$5="M","Bonded Concrete Pavement (140mm)","Bonded Concrete Pavement (5 inches)")</f>
        <v>Bonded Concrete Pavement (5 inches)</v>
      </c>
      <c r="M25" s="5">
        <f>IF($F$5="M",0.5,0.42)</f>
        <v>0.42</v>
      </c>
      <c r="O25" s="50"/>
      <c r="P25" s="67"/>
    </row>
    <row r="26" spans="1:16" ht="22.5" customHeight="1">
      <c r="A26" s="26"/>
      <c r="B26" s="31"/>
      <c r="C26" s="61">
        <f t="shared" si="1"/>
      </c>
      <c r="D26" s="16"/>
      <c r="E26" s="29">
        <f t="shared" si="2"/>
      </c>
      <c r="F26" s="30">
        <f t="shared" si="0"/>
      </c>
      <c r="G26" s="62">
        <f t="shared" si="4"/>
      </c>
      <c r="H26" s="62">
        <f t="shared" si="3"/>
      </c>
      <c r="I26" s="55"/>
      <c r="J26" s="55"/>
      <c r="K26" s="4"/>
      <c r="L26" s="4" t="str">
        <f>IF($F$5="M","","Bonded Concrete Pavement (5.5 inches)")</f>
        <v>Bonded Concrete Pavement (5.5 inches)</v>
      </c>
      <c r="M26" s="5">
        <f>IF($F$5="M",0.53,0.45)</f>
        <v>0.45</v>
      </c>
      <c r="O26" s="50"/>
      <c r="P26" s="5"/>
    </row>
    <row r="27" spans="1:16" ht="22.5" customHeight="1">
      <c r="A27" s="26"/>
      <c r="B27" s="31"/>
      <c r="C27" s="61">
        <f t="shared" si="1"/>
      </c>
      <c r="D27" s="16"/>
      <c r="E27" s="29">
        <f t="shared" si="2"/>
      </c>
      <c r="F27" s="30">
        <f t="shared" si="0"/>
      </c>
      <c r="G27" s="62">
        <f t="shared" si="4"/>
      </c>
      <c r="H27" s="62">
        <f t="shared" si="3"/>
      </c>
      <c r="I27" s="55"/>
      <c r="J27" s="55"/>
      <c r="K27" s="66"/>
      <c r="L27" s="4" t="str">
        <f>IF($F$5="M","Bonded Concrete Pavement (160mm)","Bonded Concrete Pavement (6 inches)")</f>
        <v>Bonded Concrete Pavement (6 inches)</v>
      </c>
      <c r="M27" s="5">
        <f>IF($F$5="M",0.57,0.48)</f>
        <v>0.48</v>
      </c>
      <c r="O27" s="50"/>
      <c r="P27" s="67"/>
    </row>
    <row r="28" spans="1:16" ht="22.5" customHeight="1">
      <c r="A28" s="26"/>
      <c r="B28" s="31"/>
      <c r="C28" s="61">
        <f t="shared" si="1"/>
      </c>
      <c r="D28" s="16"/>
      <c r="E28" s="29">
        <f t="shared" si="2"/>
      </c>
      <c r="F28" s="30">
        <f t="shared" si="0"/>
      </c>
      <c r="G28" s="62">
        <f t="shared" si="4"/>
      </c>
      <c r="H28" s="62">
        <f t="shared" si="3"/>
      </c>
      <c r="I28" s="55"/>
      <c r="J28" s="55"/>
      <c r="K28" s="4"/>
      <c r="L28" s="4" t="str">
        <f>IF($F$5="M","Concrete Pavement 160 mm","Concrete Pavement 6 inches")</f>
        <v>Concrete Pavement 6 inches</v>
      </c>
      <c r="M28" s="5">
        <f>IF($F$5="M",0.58,0.48)</f>
        <v>0.48</v>
      </c>
      <c r="O28" s="50"/>
      <c r="P28" s="5"/>
    </row>
    <row r="29" spans="1:16" ht="22.5" customHeight="1">
      <c r="A29" s="26"/>
      <c r="B29" s="31"/>
      <c r="C29" s="61">
        <f t="shared" si="1"/>
      </c>
      <c r="D29" s="16"/>
      <c r="E29" s="29">
        <f t="shared" si="2"/>
      </c>
      <c r="F29" s="30">
        <f t="shared" si="0"/>
      </c>
      <c r="G29" s="62">
        <f t="shared" si="4"/>
      </c>
      <c r="H29" s="62">
        <f t="shared" si="3"/>
      </c>
      <c r="I29" s="55"/>
      <c r="J29" s="55"/>
      <c r="K29" s="4"/>
      <c r="L29" s="4" t="str">
        <f>IF($F$5="M","","Concrete Pavement 6.5 inches")</f>
        <v>Concrete Pavement 6.5 inches</v>
      </c>
      <c r="M29" s="5">
        <f>IF($F$5="M",0.61,0.51)</f>
        <v>0.51</v>
      </c>
      <c r="O29" s="50"/>
      <c r="P29" s="5"/>
    </row>
    <row r="30" spans="1:16" ht="22.5" customHeight="1">
      <c r="A30" s="26"/>
      <c r="B30" s="31"/>
      <c r="C30" s="61">
        <f t="shared" si="1"/>
      </c>
      <c r="D30" s="16"/>
      <c r="E30" s="29">
        <f t="shared" si="2"/>
      </c>
      <c r="F30" s="30">
        <f t="shared" si="0"/>
      </c>
      <c r="G30" s="62">
        <f t="shared" si="4"/>
      </c>
      <c r="H30" s="62">
        <f t="shared" si="3"/>
      </c>
      <c r="I30" s="55"/>
      <c r="J30" s="55"/>
      <c r="K30" s="4"/>
      <c r="L30" s="4" t="str">
        <f>IF($F$5="M","Concrete Pavement 180 mm","Concrete Pavement 7 inches")</f>
        <v>Concrete Pavement 7 inches</v>
      </c>
      <c r="M30" s="5">
        <f>IF($F$5="M",0.65,0.54)</f>
        <v>0.54</v>
      </c>
      <c r="O30" s="50"/>
      <c r="P30" s="5"/>
    </row>
    <row r="31" spans="1:16" ht="22.5" customHeight="1">
      <c r="A31" s="26"/>
      <c r="B31" s="31"/>
      <c r="C31" s="61">
        <f t="shared" si="1"/>
      </c>
      <c r="D31" s="16"/>
      <c r="E31" s="29">
        <f t="shared" si="2"/>
      </c>
      <c r="F31" s="30">
        <f t="shared" si="0"/>
      </c>
      <c r="G31" s="62">
        <f t="shared" si="4"/>
      </c>
      <c r="H31" s="62">
        <f t="shared" si="3"/>
      </c>
      <c r="I31" s="55"/>
      <c r="J31" s="55"/>
      <c r="K31" s="4"/>
      <c r="L31" s="4" t="str">
        <f>IF($F$5="M","Concrete Pavement 190 mm","Concrete Pavement 7.5 inches")</f>
        <v>Concrete Pavement 7.5 inches</v>
      </c>
      <c r="M31" s="5">
        <f>IF($F$5="M",0.69,0.57)</f>
        <v>0.57</v>
      </c>
      <c r="O31" s="50"/>
      <c r="P31" s="5"/>
    </row>
    <row r="32" spans="1:16" ht="22.5" customHeight="1">
      <c r="A32" s="26"/>
      <c r="B32" s="31"/>
      <c r="C32" s="61">
        <f t="shared" si="1"/>
      </c>
      <c r="D32" s="16"/>
      <c r="E32" s="29">
        <f t="shared" si="2"/>
      </c>
      <c r="F32" s="30">
        <f t="shared" si="0"/>
      </c>
      <c r="G32" s="62">
        <f t="shared" si="4"/>
      </c>
      <c r="H32" s="62">
        <f t="shared" si="3"/>
      </c>
      <c r="I32" s="55"/>
      <c r="J32" s="55"/>
      <c r="K32" s="4"/>
      <c r="L32" s="4" t="str">
        <f>IF($F$5="M","Concrete Pavement 200 mm","Concrete Pavement 8 inches")</f>
        <v>Concrete Pavement 8 inches</v>
      </c>
      <c r="M32" s="5">
        <f>IF($F$5="M",0.72,0.6)</f>
        <v>0.6</v>
      </c>
      <c r="O32" s="50"/>
      <c r="P32" s="5"/>
    </row>
    <row r="33" spans="1:16" ht="22.5" customHeight="1">
      <c r="A33" s="26"/>
      <c r="B33" s="31"/>
      <c r="C33" s="61">
        <f t="shared" si="1"/>
      </c>
      <c r="D33" s="16"/>
      <c r="E33" s="29">
        <f t="shared" si="2"/>
      </c>
      <c r="F33" s="30">
        <f t="shared" si="0"/>
      </c>
      <c r="G33" s="62">
        <f t="shared" si="4"/>
      </c>
      <c r="H33" s="62">
        <f t="shared" si="3"/>
      </c>
      <c r="I33" s="55"/>
      <c r="J33" s="55"/>
      <c r="K33" s="6"/>
      <c r="L33" s="4" t="str">
        <f>IF($F$5="M","Concrete Pavement 220 mm","Concrete Pavement 8 1/2 inches")</f>
        <v>Concrete Pavement 8 1/2 inches</v>
      </c>
      <c r="M33" s="5">
        <f>IF($F$5="M",0.76,0.63)</f>
        <v>0.63</v>
      </c>
      <c r="N33" s="6"/>
      <c r="O33" s="50"/>
      <c r="P33" s="50"/>
    </row>
    <row r="34" spans="1:16" ht="22.5" customHeight="1">
      <c r="A34" s="26"/>
      <c r="B34" s="31"/>
      <c r="C34" s="61">
        <f t="shared" si="1"/>
      </c>
      <c r="D34" s="16"/>
      <c r="E34" s="29">
        <f t="shared" si="2"/>
      </c>
      <c r="F34" s="30">
        <f t="shared" si="0"/>
      </c>
      <c r="G34" s="62">
        <f t="shared" si="4"/>
      </c>
      <c r="H34" s="62">
        <f t="shared" si="3"/>
      </c>
      <c r="I34" s="55"/>
      <c r="J34" s="55"/>
      <c r="K34" s="7"/>
      <c r="L34" s="4" t="str">
        <f>IF($F$5="M","Concrete Pavement 230 mm","Concrete Pavement 9 inches")</f>
        <v>Concrete Pavement 9 inches</v>
      </c>
      <c r="M34" s="5">
        <f>IF($F$5="M",0.79,0.66)</f>
        <v>0.66</v>
      </c>
      <c r="N34" s="6"/>
      <c r="O34" s="50"/>
      <c r="P34" s="50"/>
    </row>
    <row r="35" spans="1:16" ht="22.5" customHeight="1">
      <c r="A35" s="26"/>
      <c r="B35" s="31"/>
      <c r="C35" s="61">
        <f t="shared" si="1"/>
      </c>
      <c r="D35" s="16"/>
      <c r="E35" s="29">
        <f t="shared" si="2"/>
      </c>
      <c r="F35" s="30">
        <f t="shared" si="0"/>
      </c>
      <c r="G35" s="62">
        <f t="shared" si="4"/>
      </c>
      <c r="H35" s="62">
        <f t="shared" si="3"/>
      </c>
      <c r="I35" s="55"/>
      <c r="J35" s="55"/>
      <c r="K35" s="7"/>
      <c r="L35" s="4" t="str">
        <f>IF($F$5="M","Concrete Pavement 240 mm","Concrete Pavement 9 1/2 inches")</f>
        <v>Concrete Pavement 9 1/2 inches</v>
      </c>
      <c r="M35" s="5">
        <f>IF($F$5="M",0.82,0.69)</f>
        <v>0.69</v>
      </c>
      <c r="N35" s="6"/>
      <c r="O35" s="50"/>
      <c r="P35" s="50"/>
    </row>
    <row r="36" spans="1:16" ht="22.5" customHeight="1">
      <c r="A36" s="26"/>
      <c r="B36" s="31"/>
      <c r="C36" s="61">
        <f t="shared" si="1"/>
      </c>
      <c r="D36" s="16"/>
      <c r="E36" s="29">
        <f t="shared" si="2"/>
      </c>
      <c r="F36" s="30">
        <f t="shared" si="0"/>
      </c>
      <c r="G36" s="62">
        <f t="shared" si="4"/>
      </c>
      <c r="H36" s="62">
        <f t="shared" si="3"/>
      </c>
      <c r="I36" s="55"/>
      <c r="J36" s="55"/>
      <c r="K36" s="7"/>
      <c r="L36" s="4" t="str">
        <f>IF($F$5="M","Concrete Pavement 250 mm","Concrete Pavement 10 inches")</f>
        <v>Concrete Pavement 10 inches</v>
      </c>
      <c r="M36" s="5">
        <f>IF($F$5="M",0.86,0.72)</f>
        <v>0.72</v>
      </c>
      <c r="N36" s="6"/>
      <c r="O36" s="50"/>
      <c r="P36" s="50"/>
    </row>
    <row r="37" spans="1:16" ht="22.5" customHeight="1">
      <c r="A37" s="26"/>
      <c r="B37" s="31"/>
      <c r="C37" s="61">
        <f t="shared" si="1"/>
      </c>
      <c r="D37" s="16"/>
      <c r="E37" s="29">
        <f t="shared" si="2"/>
      </c>
      <c r="F37" s="30">
        <f t="shared" si="0"/>
      </c>
      <c r="G37" s="62">
        <f t="shared" si="4"/>
      </c>
      <c r="H37" s="62">
        <f t="shared" si="3"/>
      </c>
      <c r="I37" s="55"/>
      <c r="J37" s="55"/>
      <c r="K37" s="7"/>
      <c r="L37" s="4">
        <f>IF(F5="M","Concrete Pavement 260 mm","")</f>
      </c>
      <c r="M37" s="5">
        <v>0.86</v>
      </c>
      <c r="N37" s="6"/>
      <c r="O37" s="50"/>
      <c r="P37" s="50"/>
    </row>
    <row r="38" spans="1:16" ht="22.5" customHeight="1">
      <c r="A38" s="26"/>
      <c r="B38" s="31"/>
      <c r="C38" s="61">
        <f t="shared" si="1"/>
      </c>
      <c r="D38" s="16"/>
      <c r="E38" s="29">
        <f t="shared" si="2"/>
      </c>
      <c r="F38" s="30">
        <f t="shared" si="0"/>
      </c>
      <c r="G38" s="62">
        <f t="shared" si="4"/>
      </c>
      <c r="H38" s="62">
        <f t="shared" si="3"/>
      </c>
      <c r="I38" s="55"/>
      <c r="J38" s="55"/>
      <c r="K38" s="7"/>
      <c r="L38" s="4" t="str">
        <f>IF($F$5="M","Concrete Pavement 270 mm","Concrete Pavement 10 1/2 inches")</f>
        <v>Concrete Pavement 10 1/2 inches</v>
      </c>
      <c r="M38" s="5">
        <f>IF($F$5="M",0.89,0.75)</f>
        <v>0.75</v>
      </c>
      <c r="N38" s="6"/>
      <c r="O38" s="50"/>
      <c r="P38" s="50"/>
    </row>
    <row r="39" spans="1:16" ht="22.5" customHeight="1">
      <c r="A39" s="39"/>
      <c r="B39" s="40"/>
      <c r="C39" s="32"/>
      <c r="D39" s="32"/>
      <c r="E39" s="33"/>
      <c r="F39" s="34"/>
      <c r="G39" s="35"/>
      <c r="H39" s="36" t="s">
        <v>66</v>
      </c>
      <c r="I39" s="47"/>
      <c r="J39" s="55"/>
      <c r="K39" s="7"/>
      <c r="L39" s="4" t="str">
        <f>IF($F$5="M","Concrete Pavement 280 mm","Concrete Pavement 11 inches")</f>
        <v>Concrete Pavement 11 inches</v>
      </c>
      <c r="M39" s="5">
        <f>IF($F$5="M",0.93,0.78)</f>
        <v>0.78</v>
      </c>
      <c r="N39" s="6"/>
      <c r="O39" s="50"/>
      <c r="P39" s="50"/>
    </row>
    <row r="40" spans="9:14" ht="12.75">
      <c r="I40" s="41"/>
      <c r="J40" s="41"/>
      <c r="K40" s="7"/>
      <c r="L40" s="4" t="str">
        <f>IF($F$5="M","Concrete Pavement 290 mm","Concrete Pavement 11 1/2 inches")</f>
        <v>Concrete Pavement 11 1/2 inches</v>
      </c>
      <c r="M40" s="5">
        <f>IF($F$5="M",0.96,0.81)</f>
        <v>0.81</v>
      </c>
      <c r="N40" s="6"/>
    </row>
    <row r="41" spans="1:14" ht="12.75">
      <c r="A41" s="42"/>
      <c r="B41" s="43"/>
      <c r="C41" s="44"/>
      <c r="D41" s="44"/>
      <c r="E41" s="45"/>
      <c r="F41" s="46"/>
      <c r="G41" s="47"/>
      <c r="H41" s="47"/>
      <c r="I41" s="47"/>
      <c r="J41" s="47"/>
      <c r="K41" s="7"/>
      <c r="L41" s="4" t="str">
        <f>IF($F$5="M","Concrete Pavement 300 mm","Concrete Pavement 12 inches")</f>
        <v>Concrete Pavement 12 inches</v>
      </c>
      <c r="M41" s="5">
        <f>IF($F$5="M",0.99,0.83)</f>
        <v>0.83</v>
      </c>
      <c r="N41" s="6"/>
    </row>
    <row r="42" spans="1:14" ht="12.75">
      <c r="A42" s="42"/>
      <c r="B42" s="43"/>
      <c r="C42" s="44"/>
      <c r="D42" s="44"/>
      <c r="E42" s="45"/>
      <c r="F42" s="46"/>
      <c r="G42" s="47"/>
      <c r="H42" s="47"/>
      <c r="I42" s="47"/>
      <c r="J42" s="47"/>
      <c r="K42" s="7"/>
      <c r="L42" s="4" t="str">
        <f>IF($F$5="M","Concrete Pavement 320 mm","Concrete Pavement 12 1/2 inches")</f>
        <v>Concrete Pavement 12 1/2 inches</v>
      </c>
      <c r="M42" s="5">
        <f>IF($F$5="M",1.02,0.86)</f>
        <v>0.86</v>
      </c>
      <c r="N42" s="6"/>
    </row>
    <row r="43" spans="1:14" ht="12.75">
      <c r="A43" s="42"/>
      <c r="B43" s="43"/>
      <c r="C43" s="44"/>
      <c r="D43" s="44"/>
      <c r="E43" s="45"/>
      <c r="F43" s="46"/>
      <c r="G43" s="47"/>
      <c r="H43" s="47"/>
      <c r="I43" s="47"/>
      <c r="J43" s="47"/>
      <c r="K43" s="7"/>
      <c r="L43" s="4" t="str">
        <f>IF($F$5="M","Concrete Pavement 330 mm","Concrete Pavement 13 inches")</f>
        <v>Concrete Pavement 13 inches</v>
      </c>
      <c r="M43" s="5">
        <f>IF($F$5="M",1.06,0.89)</f>
        <v>0.89</v>
      </c>
      <c r="N43" s="6"/>
    </row>
    <row r="44" spans="1:14" ht="12.75">
      <c r="A44" s="42"/>
      <c r="B44" s="43"/>
      <c r="C44" s="44"/>
      <c r="D44" s="44"/>
      <c r="E44" s="45"/>
      <c r="F44" s="46"/>
      <c r="G44" s="47"/>
      <c r="H44" s="47"/>
      <c r="I44" s="47"/>
      <c r="J44" s="47"/>
      <c r="K44" s="7"/>
      <c r="L44" s="4" t="str">
        <f>IF($F$5="M","Concrete Pavement 340 mm","Concrete Pavement 13 1/2 inches")</f>
        <v>Concrete Pavement 13 1/2 inches</v>
      </c>
      <c r="M44" s="5">
        <f>IF($F$5="M",1.1,0.92)</f>
        <v>0.92</v>
      </c>
      <c r="N44" s="6"/>
    </row>
    <row r="45" spans="1:14" ht="12.75">
      <c r="A45" s="42"/>
      <c r="B45" s="43"/>
      <c r="C45" s="44"/>
      <c r="D45" s="44"/>
      <c r="E45" s="45"/>
      <c r="F45" s="46"/>
      <c r="G45" s="47"/>
      <c r="H45" s="47"/>
      <c r="I45" s="47"/>
      <c r="J45" s="47"/>
      <c r="K45" s="7"/>
      <c r="L45" s="4" t="str">
        <f>IF($F$5="M","Concrete Pavement 360 mm","Concrete Pavement 14 inches")</f>
        <v>Concrete Pavement 14 inches</v>
      </c>
      <c r="M45" s="5">
        <f>IF($F$5="M",1.14,0.95)</f>
        <v>0.95</v>
      </c>
      <c r="N45" s="6"/>
    </row>
    <row r="46" spans="1:14" ht="12.75">
      <c r="A46" s="48"/>
      <c r="B46" s="48"/>
      <c r="C46" s="48"/>
      <c r="D46" s="48"/>
      <c r="E46" s="49"/>
      <c r="F46" s="48"/>
      <c r="G46" s="48"/>
      <c r="H46" s="48"/>
      <c r="I46" s="48"/>
      <c r="J46" s="48"/>
      <c r="K46" s="7"/>
      <c r="L46" s="4" t="str">
        <f>IF($F$5="M","Concrete Pavement 370 mm","Concrete Pavement 14 1/2 inches")</f>
        <v>Concrete Pavement 14 1/2 inches</v>
      </c>
      <c r="M46" s="5">
        <f>IF($F$5="M",1.17,0.98)</f>
        <v>0.98</v>
      </c>
      <c r="N46" s="6"/>
    </row>
    <row r="47" spans="1:14" ht="12.75">
      <c r="A47" s="50"/>
      <c r="B47" s="50"/>
      <c r="C47" s="50"/>
      <c r="D47" s="50"/>
      <c r="E47" s="51"/>
      <c r="F47" s="50"/>
      <c r="G47" s="50"/>
      <c r="H47" s="50"/>
      <c r="I47" s="50"/>
      <c r="J47" s="50"/>
      <c r="K47" s="7"/>
      <c r="L47" s="4" t="s">
        <v>60</v>
      </c>
      <c r="M47" s="5">
        <f>IF($F$5="M",334.65,10.2)</f>
        <v>10.2</v>
      </c>
      <c r="N47" s="6"/>
    </row>
    <row r="48" spans="1:14" ht="12.75">
      <c r="A48" s="50"/>
      <c r="B48" s="50"/>
      <c r="C48" s="50"/>
      <c r="D48" s="50"/>
      <c r="E48" s="51"/>
      <c r="F48" s="50"/>
      <c r="G48" s="50"/>
      <c r="H48" s="50"/>
      <c r="I48" s="50"/>
      <c r="J48" s="50"/>
      <c r="K48" s="7"/>
      <c r="L48" s="4" t="s">
        <v>59</v>
      </c>
      <c r="M48" s="5">
        <f>IF($F$5="M",2.65,2.4)</f>
        <v>2.4</v>
      </c>
      <c r="N48" s="6"/>
    </row>
    <row r="49" spans="1:14" ht="12.75">
      <c r="A49" s="50"/>
      <c r="B49" s="50"/>
      <c r="C49" s="50"/>
      <c r="D49" s="50"/>
      <c r="E49" s="51"/>
      <c r="F49" s="50"/>
      <c r="G49" s="50"/>
      <c r="H49" s="50"/>
      <c r="I49" s="50"/>
      <c r="J49" s="50"/>
      <c r="K49" s="7"/>
      <c r="L49" s="4" t="s">
        <v>64</v>
      </c>
      <c r="M49" s="5">
        <f>IF($F$5="M",2.65,2.4)</f>
        <v>2.4</v>
      </c>
      <c r="N49" s="6"/>
    </row>
    <row r="50" spans="1:14" ht="12.75">
      <c r="A50" s="50"/>
      <c r="B50" s="50"/>
      <c r="C50" s="50"/>
      <c r="D50" s="50"/>
      <c r="E50" s="51"/>
      <c r="F50" s="50"/>
      <c r="G50" s="50"/>
      <c r="H50" s="50"/>
      <c r="I50" s="50"/>
      <c r="J50" s="50"/>
      <c r="K50" s="7"/>
      <c r="L50" s="4" t="s">
        <v>65</v>
      </c>
      <c r="M50" s="5">
        <f>IF($F$5="M",2.65,2.4)</f>
        <v>2.4</v>
      </c>
      <c r="N50" s="6"/>
    </row>
    <row r="51" spans="11:13" ht="12.75">
      <c r="K51" s="7"/>
      <c r="L51" s="4"/>
      <c r="M51" s="5"/>
    </row>
    <row r="52" spans="11:13" ht="12.75">
      <c r="K52" s="7"/>
      <c r="L52" s="6"/>
      <c r="M52" s="6"/>
    </row>
    <row r="53" spans="11:13" ht="12.75">
      <c r="K53" s="7"/>
      <c r="L53" s="37"/>
      <c r="M53" s="37"/>
    </row>
    <row r="54" spans="11:13" ht="12.75">
      <c r="K54" s="7"/>
      <c r="L54" s="37"/>
      <c r="M54" s="37"/>
    </row>
    <row r="55" spans="12:13" ht="12.75">
      <c r="L55" s="37"/>
      <c r="M55" s="37"/>
    </row>
    <row r="56" spans="12:13" ht="12.75">
      <c r="L56" s="37"/>
      <c r="M56" s="37"/>
    </row>
    <row r="57" spans="12:13" ht="12.75">
      <c r="L57" s="37"/>
      <c r="M57" s="37"/>
    </row>
    <row r="58" spans="12:13" ht="12.75">
      <c r="L58" s="37"/>
      <c r="M58" s="37"/>
    </row>
    <row r="59" spans="12:13" ht="12.75">
      <c r="L59" s="37"/>
      <c r="M59" s="37"/>
    </row>
    <row r="60" spans="12:13" ht="12.75">
      <c r="L60" s="37"/>
      <c r="M60" s="37"/>
    </row>
    <row r="61" spans="12:13" ht="12.75">
      <c r="L61" s="37"/>
      <c r="M61" s="37"/>
    </row>
    <row r="62" spans="12:13" ht="12.75">
      <c r="L62" s="37"/>
      <c r="M62" s="37"/>
    </row>
    <row r="63" spans="12:13" ht="12.75">
      <c r="L63" s="37"/>
      <c r="M63" s="37"/>
    </row>
    <row r="64" spans="12:13" ht="12.75">
      <c r="L64" s="37"/>
      <c r="M64" s="37"/>
    </row>
    <row r="65" spans="12:13" ht="12.75">
      <c r="L65" s="37"/>
      <c r="M65" s="37"/>
    </row>
    <row r="66" spans="12:13" ht="12.75">
      <c r="L66" s="37"/>
      <c r="M66" s="37"/>
    </row>
    <row r="67" spans="12:13" ht="12.75">
      <c r="L67" s="37"/>
      <c r="M67" s="37"/>
    </row>
    <row r="68" spans="12:13" ht="12.75">
      <c r="L68" s="37"/>
      <c r="M68" s="37"/>
    </row>
    <row r="69" spans="12:13" ht="12.75">
      <c r="L69" s="37"/>
      <c r="M69" s="37"/>
    </row>
    <row r="70" ht="12.75">
      <c r="L70" s="37"/>
    </row>
    <row r="71" ht="12.75">
      <c r="L71" s="37"/>
    </row>
    <row r="72" ht="12.75">
      <c r="L72" s="37"/>
    </row>
  </sheetData>
  <sheetProtection password="BF11" sheet="1" objects="1" scenarios="1" selectLockedCells="1"/>
  <mergeCells count="4">
    <mergeCell ref="F3:H3"/>
    <mergeCell ref="F4:H4"/>
    <mergeCell ref="D5:E5"/>
    <mergeCell ref="B6:E6"/>
  </mergeCells>
  <dataValidations count="1">
    <dataValidation type="list" allowBlank="1" showInputMessage="1" showErrorMessage="1" promptTitle="Data Entry Restriction!" prompt="Please select one item from this drop down box. No other values will be accepted." errorTitle="Wrong data!" error="Please enter a value from the drop down list." sqref="B6:E6">
      <formula1>$L$7:$L$50</formula1>
    </dataValidation>
  </dataValidations>
  <printOptions/>
  <pageMargins left="1.06" right="0.5" top="0.5" bottom="0" header="0.5" footer="0"/>
  <pageSetup blackAndWhite="1" fitToHeight="1" fitToWidth="1" horizontalDpi="600" verticalDpi="600" orientation="portrait" scale="9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"/>
  <sheetViews>
    <sheetView showGridLines="0" showRowColHeaders="0" zoomScalePageLayoutView="0" workbookViewId="0" topLeftCell="A1">
      <selection activeCell="B6" sqref="B6:E6"/>
    </sheetView>
  </sheetViews>
  <sheetFormatPr defaultColWidth="9.140625" defaultRowHeight="12.75"/>
  <cols>
    <col min="1" max="1" width="13.00390625" style="0" customWidth="1"/>
    <col min="2" max="2" width="13.28125" style="0" customWidth="1"/>
    <col min="3" max="3" width="9.00390625" style="0" customWidth="1"/>
    <col min="4" max="4" width="9.28125" style="0" customWidth="1"/>
    <col min="5" max="5" width="11.00390625" style="1" customWidth="1"/>
    <col min="6" max="6" width="10.57421875" style="0" customWidth="1"/>
    <col min="7" max="8" width="16.00390625" style="0" bestFit="1" customWidth="1"/>
    <col min="11" max="11" width="3.57421875" style="0" customWidth="1"/>
    <col min="12" max="12" width="47.00390625" style="0" hidden="1" customWidth="1"/>
    <col min="13" max="13" width="8.28125" style="0" hidden="1" customWidth="1"/>
    <col min="14" max="14" width="7.140625" style="0" customWidth="1"/>
    <col min="15" max="16" width="9.140625" style="0" customWidth="1"/>
  </cols>
  <sheetData>
    <row r="1" spans="1:16" ht="15">
      <c r="A1" s="8"/>
      <c r="B1" s="8"/>
      <c r="C1" s="9" t="s">
        <v>67</v>
      </c>
      <c r="D1" s="8"/>
      <c r="E1" s="10"/>
      <c r="F1" s="8"/>
      <c r="G1" s="8"/>
      <c r="H1" s="8"/>
      <c r="I1" s="52"/>
      <c r="J1" s="52"/>
      <c r="K1" s="50"/>
      <c r="L1" s="50"/>
      <c r="M1" s="50"/>
      <c r="N1" s="50"/>
      <c r="O1" s="50"/>
      <c r="P1" s="50"/>
    </row>
    <row r="2" spans="1:16" ht="17.25" customHeight="1">
      <c r="A2" s="8"/>
      <c r="B2" s="8"/>
      <c r="C2" s="8"/>
      <c r="D2" s="8"/>
      <c r="E2" s="10"/>
      <c r="F2" s="8"/>
      <c r="G2" s="8"/>
      <c r="H2" s="8"/>
      <c r="I2" s="52"/>
      <c r="J2" s="52"/>
      <c r="K2" s="50"/>
      <c r="L2" s="50"/>
      <c r="M2" s="50"/>
      <c r="N2" s="50"/>
      <c r="O2" s="50"/>
      <c r="P2" s="50"/>
    </row>
    <row r="3" spans="1:16" ht="21" customHeight="1">
      <c r="A3" s="11"/>
      <c r="B3" s="12"/>
      <c r="C3" s="11"/>
      <c r="D3" s="11"/>
      <c r="E3" s="63" t="s">
        <v>42</v>
      </c>
      <c r="F3" s="97">
        <f>IF('Item 1'!F3:H3="","",'Item 1'!F3:H3)</f>
      </c>
      <c r="G3" s="97"/>
      <c r="H3" s="97"/>
      <c r="I3" s="53"/>
      <c r="J3" s="53"/>
      <c r="K3" s="50"/>
      <c r="L3" s="50"/>
      <c r="M3" s="50"/>
      <c r="N3" s="50"/>
      <c r="O3" s="50"/>
      <c r="P3" s="50"/>
    </row>
    <row r="4" spans="1:16" ht="21" customHeight="1">
      <c r="A4" s="13" t="s">
        <v>43</v>
      </c>
      <c r="B4" s="82">
        <f>IF('Item 1'!B4="","",'Item 1'!B4)</f>
      </c>
      <c r="C4" s="38"/>
      <c r="D4" s="11"/>
      <c r="E4" s="64" t="s">
        <v>41</v>
      </c>
      <c r="F4" s="98">
        <f>IF('Item 1'!F4:H4="","",'Item 1'!F4:H4)</f>
      </c>
      <c r="G4" s="99"/>
      <c r="H4" s="100"/>
      <c r="I4" s="53"/>
      <c r="J4" s="53"/>
      <c r="K4" s="50"/>
      <c r="L4" s="57"/>
      <c r="M4" s="50"/>
      <c r="N4" s="50"/>
      <c r="O4" s="50"/>
      <c r="P4" s="50"/>
    </row>
    <row r="5" spans="1:16" ht="21" customHeight="1">
      <c r="A5" s="79" t="s">
        <v>44</v>
      </c>
      <c r="B5" s="15"/>
      <c r="C5" s="81">
        <f>IF('Item 1'!C5="","",'Item 1'!C5)</f>
      </c>
      <c r="D5" s="95" t="s">
        <v>46</v>
      </c>
      <c r="E5" s="96"/>
      <c r="F5" s="80">
        <f>IF('Item 1'!F5="","",'Item 1'!F5)</f>
      </c>
      <c r="G5" s="65" t="s">
        <v>45</v>
      </c>
      <c r="H5" s="60">
        <f>IF(B6="","",VLOOKUP(B6,L7:M50,2,FALSE))</f>
      </c>
      <c r="I5" s="53"/>
      <c r="J5" s="53"/>
      <c r="K5" s="4"/>
      <c r="L5" s="56"/>
      <c r="N5" s="4"/>
      <c r="O5" s="50"/>
      <c r="P5" s="50"/>
    </row>
    <row r="6" spans="1:16" ht="21" customHeight="1">
      <c r="A6" s="79" t="s">
        <v>20</v>
      </c>
      <c r="B6" s="88"/>
      <c r="C6" s="89"/>
      <c r="D6" s="89"/>
      <c r="E6" s="90"/>
      <c r="F6" s="58"/>
      <c r="H6" s="59"/>
      <c r="I6" s="53"/>
      <c r="J6" s="53"/>
      <c r="K6" s="4"/>
      <c r="L6" s="4" t="s">
        <v>21</v>
      </c>
      <c r="M6" s="4" t="s">
        <v>37</v>
      </c>
      <c r="O6" s="50"/>
      <c r="P6" s="4"/>
    </row>
    <row r="7" spans="1:16" ht="12.75">
      <c r="A7" s="11"/>
      <c r="B7" s="11"/>
      <c r="C7" s="17"/>
      <c r="D7" s="11"/>
      <c r="E7" s="7"/>
      <c r="F7" s="11"/>
      <c r="G7" s="11"/>
      <c r="H7" s="11"/>
      <c r="I7" s="53"/>
      <c r="J7" s="53"/>
      <c r="K7" s="4"/>
      <c r="L7" s="4" t="s">
        <v>22</v>
      </c>
      <c r="M7" s="5">
        <f>IF($F$5="M",0.33,0.25)</f>
        <v>0.25</v>
      </c>
      <c r="O7" s="50"/>
      <c r="P7" s="5"/>
    </row>
    <row r="8" spans="1:16" ht="12.75">
      <c r="A8" s="18" t="s">
        <v>0</v>
      </c>
      <c r="B8" s="18" t="s">
        <v>18</v>
      </c>
      <c r="C8" s="19" t="s">
        <v>2</v>
      </c>
      <c r="D8" s="18" t="s">
        <v>5</v>
      </c>
      <c r="E8" s="20" t="s">
        <v>8</v>
      </c>
      <c r="F8" s="18" t="s">
        <v>10</v>
      </c>
      <c r="G8" s="18" t="s">
        <v>13</v>
      </c>
      <c r="H8" s="18" t="s">
        <v>8</v>
      </c>
      <c r="I8" s="54"/>
      <c r="J8" s="54"/>
      <c r="K8" s="4"/>
      <c r="L8" s="4" t="s">
        <v>61</v>
      </c>
      <c r="M8" s="5">
        <f>IF($F$5="M",0.33,0.25)</f>
        <v>0.25</v>
      </c>
      <c r="O8" s="50"/>
      <c r="P8" s="5"/>
    </row>
    <row r="9" spans="1:16" ht="12.75">
      <c r="A9" s="21"/>
      <c r="B9" s="22" t="s">
        <v>16</v>
      </c>
      <c r="C9" s="22" t="s">
        <v>3</v>
      </c>
      <c r="D9" s="22" t="s">
        <v>6</v>
      </c>
      <c r="E9" s="23"/>
      <c r="F9" s="22" t="s">
        <v>11</v>
      </c>
      <c r="G9" s="22" t="s">
        <v>14</v>
      </c>
      <c r="H9" s="22" t="s">
        <v>9</v>
      </c>
      <c r="I9" s="54"/>
      <c r="J9" s="54"/>
      <c r="K9" s="4"/>
      <c r="L9" s="4" t="s">
        <v>19</v>
      </c>
      <c r="M9" s="5">
        <f>IF($F$5="M",0.43,0.33)</f>
        <v>0.33</v>
      </c>
      <c r="O9" s="50"/>
      <c r="P9" s="5"/>
    </row>
    <row r="10" spans="1:16" ht="12.75">
      <c r="A10" s="24" t="s">
        <v>1</v>
      </c>
      <c r="B10" s="24" t="s">
        <v>17</v>
      </c>
      <c r="C10" s="24" t="s">
        <v>4</v>
      </c>
      <c r="D10" s="24" t="s">
        <v>7</v>
      </c>
      <c r="E10" s="25" t="s">
        <v>9</v>
      </c>
      <c r="F10" s="24" t="s">
        <v>12</v>
      </c>
      <c r="G10" s="24" t="s">
        <v>15</v>
      </c>
      <c r="H10" s="24" t="s">
        <v>15</v>
      </c>
      <c r="I10" s="54"/>
      <c r="J10" s="54"/>
      <c r="K10" s="4"/>
      <c r="L10" s="4" t="s">
        <v>62</v>
      </c>
      <c r="M10" s="5">
        <f>IF($F$5="M",0.43,0.33)</f>
        <v>0.33</v>
      </c>
      <c r="O10" s="50"/>
      <c r="P10" s="5"/>
    </row>
    <row r="11" spans="1:16" ht="22.5" customHeight="1">
      <c r="A11" s="26"/>
      <c r="B11" s="27"/>
      <c r="C11" s="61">
        <f>IF(H5="","",ABS($H$5))</f>
      </c>
      <c r="D11" s="28"/>
      <c r="E11" s="29">
        <f>IF(D11="","",+D11)</f>
      </c>
      <c r="F11" s="30">
        <f>+IF(B11="","",(B11-$C$5))</f>
      </c>
      <c r="G11" s="62">
        <f>IF(C11="","",IF(F11="","",+C11*D11*F11))</f>
      </c>
      <c r="H11" s="62">
        <f>+G11</f>
      </c>
      <c r="I11" s="54"/>
      <c r="J11" s="54"/>
      <c r="K11" s="4"/>
      <c r="L11" s="4" t="s">
        <v>24</v>
      </c>
      <c r="M11" s="5">
        <f>IF($F$5="M",0.38,0.29)</f>
        <v>0.29</v>
      </c>
      <c r="O11" s="50"/>
      <c r="P11" s="5"/>
    </row>
    <row r="12" spans="1:16" ht="22.5" customHeight="1">
      <c r="A12" s="26"/>
      <c r="B12" s="31"/>
      <c r="C12" s="61">
        <f>IF(B12="","",ABS($H$5))</f>
      </c>
      <c r="D12" s="16"/>
      <c r="E12" s="29">
        <f>IF(D12="","",+D12+E11)</f>
      </c>
      <c r="F12" s="30">
        <f aca="true" t="shared" si="0" ref="F12:F38">+IF(B12="","",(B12-$C$5))</f>
      </c>
      <c r="G12" s="62">
        <f>IF(C12="","",IF(F12="","",+C12*D12*F12))</f>
      </c>
      <c r="H12" s="62">
        <f>IF(G12="","",+H11+G12)</f>
      </c>
      <c r="I12" s="55"/>
      <c r="J12" s="55"/>
      <c r="K12" s="4"/>
      <c r="L12" s="4" t="s">
        <v>25</v>
      </c>
      <c r="M12" s="5">
        <f>IF($F$5="M",0.39,0.3)</f>
        <v>0.3</v>
      </c>
      <c r="O12" s="50"/>
      <c r="P12" s="5"/>
    </row>
    <row r="13" spans="1:16" ht="22.5" customHeight="1">
      <c r="A13" s="26"/>
      <c r="B13" s="31"/>
      <c r="C13" s="61">
        <f aca="true" t="shared" si="1" ref="C13:C38">IF(B13="","",ABS($H$5))</f>
      </c>
      <c r="D13" s="16"/>
      <c r="E13" s="29">
        <f aca="true" t="shared" si="2" ref="E13:E38">IF(D13="","",+D13+E12)</f>
      </c>
      <c r="F13" s="30">
        <f t="shared" si="0"/>
      </c>
      <c r="G13" s="62">
        <f>IF(C13="","",IF(F13="","",+C13*D13*F13))</f>
      </c>
      <c r="H13" s="62">
        <f aca="true" t="shared" si="3" ref="H13:H38">IF(G13="","",+H12+G13)</f>
      </c>
      <c r="I13" s="55"/>
      <c r="J13" s="55"/>
      <c r="K13" s="4"/>
      <c r="L13" s="4" t="s">
        <v>63</v>
      </c>
      <c r="M13" s="5">
        <f>IF($F$5="M",0.36,0.3)</f>
        <v>0.3</v>
      </c>
      <c r="O13" s="50"/>
      <c r="P13" s="5"/>
    </row>
    <row r="14" spans="1:16" ht="22.5" customHeight="1">
      <c r="A14" s="26"/>
      <c r="B14" s="31"/>
      <c r="C14" s="61">
        <f t="shared" si="1"/>
      </c>
      <c r="D14" s="16"/>
      <c r="E14" s="29">
        <f t="shared" si="2"/>
      </c>
      <c r="F14" s="30">
        <f t="shared" si="0"/>
      </c>
      <c r="G14" s="62">
        <f>IF(C14="","",IF(F14="","",+C14*D14*F14))</f>
      </c>
      <c r="H14" s="62">
        <f t="shared" si="3"/>
      </c>
      <c r="I14" s="55"/>
      <c r="J14" s="55"/>
      <c r="K14" s="66"/>
      <c r="L14" s="4" t="str">
        <f>IF($F$5="M","Concrete Placement:  75mm","Concrete Placement:  3 inches")</f>
        <v>Concrete Placement:  3 inches</v>
      </c>
      <c r="M14" s="5">
        <f>IF($F$5="M",0.36,0.3)</f>
        <v>0.3</v>
      </c>
      <c r="O14" s="50"/>
      <c r="P14" s="67"/>
    </row>
    <row r="15" spans="1:16" ht="22.5" customHeight="1">
      <c r="A15" s="26"/>
      <c r="B15" s="31"/>
      <c r="C15" s="61">
        <f t="shared" si="1"/>
      </c>
      <c r="D15" s="16"/>
      <c r="E15" s="29">
        <f t="shared" si="2"/>
      </c>
      <c r="F15" s="30">
        <f t="shared" si="0"/>
      </c>
      <c r="G15" s="62">
        <f>IF(C15="","",IF(F15="","",+C15*D15*F15))</f>
      </c>
      <c r="H15" s="62">
        <f t="shared" si="3"/>
      </c>
      <c r="I15" s="55"/>
      <c r="J15" s="55"/>
      <c r="K15" s="66"/>
      <c r="L15" s="4" t="str">
        <f>IF($F$5="M","","Concrete Placement:  3.5 inches")</f>
        <v>Concrete Placement:  3.5 inches</v>
      </c>
      <c r="M15" s="5">
        <f>IF($F$5="M",0.39,0.33)</f>
        <v>0.33</v>
      </c>
      <c r="O15" s="50"/>
      <c r="P15" s="67"/>
    </row>
    <row r="16" spans="1:16" ht="22.5" customHeight="1">
      <c r="A16" s="26"/>
      <c r="B16" s="31"/>
      <c r="C16" s="61">
        <f t="shared" si="1"/>
      </c>
      <c r="D16" s="16"/>
      <c r="E16" s="29">
        <f t="shared" si="2"/>
      </c>
      <c r="F16" s="30">
        <f t="shared" si="0"/>
      </c>
      <c r="G16" s="62">
        <f aca="true" t="shared" si="4" ref="G16:G38">IF(F16="","",+C16*D16*F16)</f>
      </c>
      <c r="H16" s="62">
        <f t="shared" si="3"/>
      </c>
      <c r="I16" s="55"/>
      <c r="J16" s="55"/>
      <c r="K16" s="4"/>
      <c r="L16" s="4" t="str">
        <f>IF($F$5="M","Concrete Placement:  100mm","Concrete Placement:  4 inches")</f>
        <v>Concrete Placement:  4 inches</v>
      </c>
      <c r="M16" s="5">
        <f>IF($F$5="M",0.43,0.36)</f>
        <v>0.36</v>
      </c>
      <c r="O16" s="50"/>
      <c r="P16" s="5"/>
    </row>
    <row r="17" spans="1:16" ht="22.5" customHeight="1">
      <c r="A17" s="26"/>
      <c r="B17" s="31"/>
      <c r="C17" s="61">
        <f t="shared" si="1"/>
      </c>
      <c r="D17" s="16"/>
      <c r="E17" s="29">
        <f t="shared" si="2"/>
      </c>
      <c r="F17" s="30">
        <f t="shared" si="0"/>
      </c>
      <c r="G17" s="62">
        <f t="shared" si="4"/>
      </c>
      <c r="H17" s="62">
        <f t="shared" si="3"/>
      </c>
      <c r="I17" s="55"/>
      <c r="J17" s="55"/>
      <c r="K17" s="66"/>
      <c r="L17" s="4" t="str">
        <f>IF($F$5="M","","Concrete Placement:  4.5 inches")</f>
        <v>Concrete Placement:  4.5 inches</v>
      </c>
      <c r="M17" s="5">
        <f>IF($F$5="M",0.46,0.39)</f>
        <v>0.39</v>
      </c>
      <c r="O17" s="50"/>
      <c r="P17" s="67"/>
    </row>
    <row r="18" spans="1:16" ht="22.5" customHeight="1">
      <c r="A18" s="26"/>
      <c r="B18" s="31"/>
      <c r="C18" s="61">
        <f t="shared" si="1"/>
      </c>
      <c r="D18" s="16"/>
      <c r="E18" s="29">
        <f t="shared" si="2"/>
      </c>
      <c r="F18" s="30">
        <f t="shared" si="0"/>
      </c>
      <c r="G18" s="62">
        <f t="shared" si="4"/>
      </c>
      <c r="H18" s="62">
        <f t="shared" si="3"/>
      </c>
      <c r="I18" s="55"/>
      <c r="J18" s="55"/>
      <c r="K18" s="4"/>
      <c r="L18" s="4" t="str">
        <f>IF($F$5="M","Concrete Placement:  140mm","Concrete Placement:  5 inches")</f>
        <v>Concrete Placement:  5 inches</v>
      </c>
      <c r="M18" s="5">
        <f>IF($F$5="M",0.5,0.42)</f>
        <v>0.42</v>
      </c>
      <c r="O18" s="50"/>
      <c r="P18" s="5"/>
    </row>
    <row r="19" spans="1:16" ht="22.5" customHeight="1">
      <c r="A19" s="26"/>
      <c r="B19" s="31"/>
      <c r="C19" s="61">
        <f t="shared" si="1"/>
      </c>
      <c r="D19" s="16"/>
      <c r="E19" s="29">
        <f t="shared" si="2"/>
      </c>
      <c r="F19" s="30">
        <f t="shared" si="0"/>
      </c>
      <c r="G19" s="62">
        <f t="shared" si="4"/>
      </c>
      <c r="H19" s="62">
        <f t="shared" si="3"/>
      </c>
      <c r="I19" s="55"/>
      <c r="J19" s="55"/>
      <c r="K19" s="66"/>
      <c r="L19" s="4" t="str">
        <f>IF($F$5="M","","Concrete Placement:  5.5 inches")</f>
        <v>Concrete Placement:  5.5 inches</v>
      </c>
      <c r="M19" s="5">
        <f>IF($F$5="M",0.53,0.45)</f>
        <v>0.45</v>
      </c>
      <c r="O19" s="50"/>
      <c r="P19" s="67"/>
    </row>
    <row r="20" spans="1:16" ht="21" customHeight="1">
      <c r="A20" s="26"/>
      <c r="B20" s="31"/>
      <c r="C20" s="61">
        <f t="shared" si="1"/>
      </c>
      <c r="D20" s="16"/>
      <c r="E20" s="29">
        <f t="shared" si="2"/>
      </c>
      <c r="F20" s="30">
        <f t="shared" si="0"/>
      </c>
      <c r="G20" s="62">
        <f t="shared" si="4"/>
      </c>
      <c r="H20" s="62">
        <f t="shared" si="3"/>
      </c>
      <c r="I20" s="55"/>
      <c r="J20" s="55"/>
      <c r="K20" s="4"/>
      <c r="L20" s="4" t="str">
        <f>IF($F$5="M","Concrete Placement:  160mm","Concrete Placement:  6 inches")</f>
        <v>Concrete Placement:  6 inches</v>
      </c>
      <c r="M20" s="5">
        <f>IF($F$5="M",0.57,0.48)</f>
        <v>0.48</v>
      </c>
      <c r="O20" s="50"/>
      <c r="P20" s="5"/>
    </row>
    <row r="21" spans="1:16" ht="21" customHeight="1">
      <c r="A21" s="26"/>
      <c r="B21" s="31"/>
      <c r="C21" s="61">
        <f t="shared" si="1"/>
      </c>
      <c r="D21" s="16"/>
      <c r="E21" s="29">
        <f t="shared" si="2"/>
      </c>
      <c r="F21" s="30">
        <f t="shared" si="0"/>
      </c>
      <c r="G21" s="62">
        <f t="shared" si="4"/>
      </c>
      <c r="H21" s="62">
        <f t="shared" si="3"/>
      </c>
      <c r="I21" s="55"/>
      <c r="J21" s="55"/>
      <c r="K21" s="66"/>
      <c r="L21" s="4" t="str">
        <f>IF($F$5="M","Bonded Concrete Pavement (75mm)","Bonded Concrete Pavement (3 inches)")</f>
        <v>Bonded Concrete Pavement (3 inches)</v>
      </c>
      <c r="M21" s="5">
        <f>IF($F$5="M",0.36,0.3)</f>
        <v>0.3</v>
      </c>
      <c r="O21" s="50"/>
      <c r="P21" s="67"/>
    </row>
    <row r="22" spans="1:16" ht="21" customHeight="1">
      <c r="A22" s="26"/>
      <c r="B22" s="31"/>
      <c r="C22" s="61">
        <f t="shared" si="1"/>
      </c>
      <c r="D22" s="16"/>
      <c r="E22" s="29">
        <f t="shared" si="2"/>
      </c>
      <c r="F22" s="30">
        <f t="shared" si="0"/>
      </c>
      <c r="G22" s="62">
        <f t="shared" si="4"/>
      </c>
      <c r="H22" s="62">
        <f t="shared" si="3"/>
      </c>
      <c r="I22" s="55"/>
      <c r="J22" s="55"/>
      <c r="K22" s="4"/>
      <c r="L22" s="4" t="str">
        <f>IF($F$5="M","","Bonded Concrete Pavement (3.5 inches)")</f>
        <v>Bonded Concrete Pavement (3.5 inches)</v>
      </c>
      <c r="M22" s="5">
        <f>IF($F$5="M",0.39,0.33)</f>
        <v>0.33</v>
      </c>
      <c r="O22" s="50"/>
      <c r="P22" s="5"/>
    </row>
    <row r="23" spans="1:16" ht="22.5" customHeight="1">
      <c r="A23" s="26"/>
      <c r="B23" s="31"/>
      <c r="C23" s="61">
        <f t="shared" si="1"/>
      </c>
      <c r="D23" s="16"/>
      <c r="E23" s="29">
        <f t="shared" si="2"/>
      </c>
      <c r="F23" s="30">
        <f t="shared" si="0"/>
      </c>
      <c r="G23" s="62">
        <f t="shared" si="4"/>
      </c>
      <c r="H23" s="62">
        <f t="shared" si="3"/>
      </c>
      <c r="I23" s="55"/>
      <c r="J23" s="55"/>
      <c r="K23" s="66"/>
      <c r="L23" s="4" t="str">
        <f>IF($F$5="M","Bonded Concrete Pavement (100mm)","Bonded Concrete Pavement (4 inches)")</f>
        <v>Bonded Concrete Pavement (4 inches)</v>
      </c>
      <c r="M23" s="5">
        <f>IF($F$5="M",0.43,0.36)</f>
        <v>0.36</v>
      </c>
      <c r="O23" s="50"/>
      <c r="P23" s="67"/>
    </row>
    <row r="24" spans="1:16" ht="22.5" customHeight="1">
      <c r="A24" s="26"/>
      <c r="B24" s="31"/>
      <c r="C24" s="61">
        <f t="shared" si="1"/>
      </c>
      <c r="D24" s="16"/>
      <c r="E24" s="29">
        <f t="shared" si="2"/>
      </c>
      <c r="F24" s="30">
        <f t="shared" si="0"/>
      </c>
      <c r="G24" s="62">
        <f t="shared" si="4"/>
      </c>
      <c r="H24" s="62">
        <f t="shared" si="3"/>
      </c>
      <c r="I24" s="55"/>
      <c r="J24" s="55"/>
      <c r="K24" s="4"/>
      <c r="L24" s="4" t="str">
        <f>IF($F$5="M","","Bonded Concrete Pavement (4.5 inches)")</f>
        <v>Bonded Concrete Pavement (4.5 inches)</v>
      </c>
      <c r="M24" s="5">
        <f>IF($F$5="M",0.46,0.39)</f>
        <v>0.39</v>
      </c>
      <c r="O24" s="50"/>
      <c r="P24" s="5"/>
    </row>
    <row r="25" spans="1:16" ht="22.5" customHeight="1">
      <c r="A25" s="26"/>
      <c r="B25" s="31"/>
      <c r="C25" s="61">
        <f t="shared" si="1"/>
      </c>
      <c r="D25" s="16"/>
      <c r="E25" s="29">
        <f t="shared" si="2"/>
      </c>
      <c r="F25" s="30">
        <f t="shared" si="0"/>
      </c>
      <c r="G25" s="62">
        <f t="shared" si="4"/>
      </c>
      <c r="H25" s="62">
        <f t="shared" si="3"/>
      </c>
      <c r="I25" s="55"/>
      <c r="J25" s="55"/>
      <c r="K25" s="66"/>
      <c r="L25" s="4" t="str">
        <f>IF($F$5="M","Bonded Concrete Pavement (140mm)","Bonded Concrete Pavement (5 inches)")</f>
        <v>Bonded Concrete Pavement (5 inches)</v>
      </c>
      <c r="M25" s="5">
        <f>IF($F$5="M",0.5,0.42)</f>
        <v>0.42</v>
      </c>
      <c r="O25" s="50"/>
      <c r="P25" s="67"/>
    </row>
    <row r="26" spans="1:16" ht="22.5" customHeight="1">
      <c r="A26" s="26"/>
      <c r="B26" s="31"/>
      <c r="C26" s="61">
        <f t="shared" si="1"/>
      </c>
      <c r="D26" s="16"/>
      <c r="E26" s="29">
        <f t="shared" si="2"/>
      </c>
      <c r="F26" s="30">
        <f t="shared" si="0"/>
      </c>
      <c r="G26" s="62">
        <f t="shared" si="4"/>
      </c>
      <c r="H26" s="62">
        <f t="shared" si="3"/>
      </c>
      <c r="I26" s="55"/>
      <c r="J26" s="55"/>
      <c r="K26" s="4"/>
      <c r="L26" s="4" t="str">
        <f>IF($F$5="M","","Bonded Concrete Pavement (5.5 inches)")</f>
        <v>Bonded Concrete Pavement (5.5 inches)</v>
      </c>
      <c r="M26" s="5">
        <f>IF($F$5="M",0.53,0.45)</f>
        <v>0.45</v>
      </c>
      <c r="O26" s="50"/>
      <c r="P26" s="5"/>
    </row>
    <row r="27" spans="1:16" ht="22.5" customHeight="1">
      <c r="A27" s="26"/>
      <c r="B27" s="31"/>
      <c r="C27" s="61">
        <f t="shared" si="1"/>
      </c>
      <c r="D27" s="16"/>
      <c r="E27" s="29">
        <f t="shared" si="2"/>
      </c>
      <c r="F27" s="30">
        <f t="shared" si="0"/>
      </c>
      <c r="G27" s="62">
        <f t="shared" si="4"/>
      </c>
      <c r="H27" s="62">
        <f t="shared" si="3"/>
      </c>
      <c r="I27" s="55"/>
      <c r="J27" s="55"/>
      <c r="K27" s="66"/>
      <c r="L27" s="4" t="str">
        <f>IF($F$5="M","Bonded Concrete Pavement (160mm)","Bonded Concrete Pavement (6 inches)")</f>
        <v>Bonded Concrete Pavement (6 inches)</v>
      </c>
      <c r="M27" s="5">
        <f>IF($F$5="M",0.57,0.48)</f>
        <v>0.48</v>
      </c>
      <c r="O27" s="50"/>
      <c r="P27" s="67"/>
    </row>
    <row r="28" spans="1:16" ht="22.5" customHeight="1">
      <c r="A28" s="26"/>
      <c r="B28" s="31"/>
      <c r="C28" s="61">
        <f t="shared" si="1"/>
      </c>
      <c r="D28" s="16"/>
      <c r="E28" s="29">
        <f t="shared" si="2"/>
      </c>
      <c r="F28" s="30">
        <f t="shared" si="0"/>
      </c>
      <c r="G28" s="62">
        <f t="shared" si="4"/>
      </c>
      <c r="H28" s="62">
        <f t="shared" si="3"/>
      </c>
      <c r="I28" s="55"/>
      <c r="J28" s="55"/>
      <c r="K28" s="4"/>
      <c r="L28" s="4" t="str">
        <f>IF($F$5="M","Concrete Pavement 160 mm","Concrete Pavement 6 inches")</f>
        <v>Concrete Pavement 6 inches</v>
      </c>
      <c r="M28" s="5">
        <f>IF($F$5="M",0.58,0.48)</f>
        <v>0.48</v>
      </c>
      <c r="O28" s="50"/>
      <c r="P28" s="5"/>
    </row>
    <row r="29" spans="1:16" ht="22.5" customHeight="1">
      <c r="A29" s="26"/>
      <c r="B29" s="31"/>
      <c r="C29" s="61">
        <f t="shared" si="1"/>
      </c>
      <c r="D29" s="16"/>
      <c r="E29" s="29">
        <f t="shared" si="2"/>
      </c>
      <c r="F29" s="30">
        <f t="shared" si="0"/>
      </c>
      <c r="G29" s="62">
        <f t="shared" si="4"/>
      </c>
      <c r="H29" s="62">
        <f t="shared" si="3"/>
      </c>
      <c r="I29" s="55"/>
      <c r="J29" s="55"/>
      <c r="K29" s="4"/>
      <c r="L29" s="4" t="str">
        <f>IF($F$5="M","","Concrete Pavement 6.5 inches")</f>
        <v>Concrete Pavement 6.5 inches</v>
      </c>
      <c r="M29" s="5">
        <f>IF($F$5="M",0.61,0.51)</f>
        <v>0.51</v>
      </c>
      <c r="O29" s="50"/>
      <c r="P29" s="5"/>
    </row>
    <row r="30" spans="1:16" ht="22.5" customHeight="1">
      <c r="A30" s="26"/>
      <c r="B30" s="31"/>
      <c r="C30" s="61">
        <f t="shared" si="1"/>
      </c>
      <c r="D30" s="16"/>
      <c r="E30" s="29">
        <f t="shared" si="2"/>
      </c>
      <c r="F30" s="30">
        <f t="shared" si="0"/>
      </c>
      <c r="G30" s="62">
        <f t="shared" si="4"/>
      </c>
      <c r="H30" s="62">
        <f t="shared" si="3"/>
      </c>
      <c r="I30" s="55"/>
      <c r="J30" s="55"/>
      <c r="K30" s="4"/>
      <c r="L30" s="4" t="str">
        <f>IF($F$5="M","Concrete Pavement 180 mm","Concrete Pavement 7 inches")</f>
        <v>Concrete Pavement 7 inches</v>
      </c>
      <c r="M30" s="5">
        <f>IF($F$5="M",0.65,0.54)</f>
        <v>0.54</v>
      </c>
      <c r="O30" s="50"/>
      <c r="P30" s="5"/>
    </row>
    <row r="31" spans="1:16" ht="22.5" customHeight="1">
      <c r="A31" s="26"/>
      <c r="B31" s="31"/>
      <c r="C31" s="61">
        <f t="shared" si="1"/>
      </c>
      <c r="D31" s="16"/>
      <c r="E31" s="29">
        <f t="shared" si="2"/>
      </c>
      <c r="F31" s="30">
        <f t="shared" si="0"/>
      </c>
      <c r="G31" s="62">
        <f t="shared" si="4"/>
      </c>
      <c r="H31" s="62">
        <f t="shared" si="3"/>
      </c>
      <c r="I31" s="55"/>
      <c r="J31" s="55"/>
      <c r="K31" s="4"/>
      <c r="L31" s="4" t="str">
        <f>IF($F$5="M","Concrete Pavement 190 mm","Concrete Pavement 7.5 inches")</f>
        <v>Concrete Pavement 7.5 inches</v>
      </c>
      <c r="M31" s="5">
        <f>IF($F$5="M",0.69,0.57)</f>
        <v>0.57</v>
      </c>
      <c r="O31" s="50"/>
      <c r="P31" s="5"/>
    </row>
    <row r="32" spans="1:16" ht="22.5" customHeight="1">
      <c r="A32" s="26"/>
      <c r="B32" s="31"/>
      <c r="C32" s="61">
        <f t="shared" si="1"/>
      </c>
      <c r="D32" s="16"/>
      <c r="E32" s="29">
        <f t="shared" si="2"/>
      </c>
      <c r="F32" s="30">
        <f t="shared" si="0"/>
      </c>
      <c r="G32" s="62">
        <f t="shared" si="4"/>
      </c>
      <c r="H32" s="62">
        <f t="shared" si="3"/>
      </c>
      <c r="I32" s="55"/>
      <c r="J32" s="55"/>
      <c r="K32" s="4"/>
      <c r="L32" s="4" t="str">
        <f>IF($F$5="M","Concrete Pavement 200 mm","Concrete Pavement 8 inches")</f>
        <v>Concrete Pavement 8 inches</v>
      </c>
      <c r="M32" s="5">
        <f>IF($F$5="M",0.72,0.6)</f>
        <v>0.6</v>
      </c>
      <c r="O32" s="50"/>
      <c r="P32" s="5"/>
    </row>
    <row r="33" spans="1:16" ht="22.5" customHeight="1">
      <c r="A33" s="26"/>
      <c r="B33" s="31"/>
      <c r="C33" s="61">
        <f t="shared" si="1"/>
      </c>
      <c r="D33" s="16"/>
      <c r="E33" s="29">
        <f t="shared" si="2"/>
      </c>
      <c r="F33" s="30">
        <f t="shared" si="0"/>
      </c>
      <c r="G33" s="62">
        <f t="shared" si="4"/>
      </c>
      <c r="H33" s="62">
        <f t="shared" si="3"/>
      </c>
      <c r="I33" s="55"/>
      <c r="J33" s="55"/>
      <c r="K33" s="6"/>
      <c r="L33" s="4" t="str">
        <f>IF($F$5="M","Concrete Pavement 220 mm","Concrete Pavement 8 1/2 inches")</f>
        <v>Concrete Pavement 8 1/2 inches</v>
      </c>
      <c r="M33" s="5">
        <f>IF($F$5="M",0.76,0.63)</f>
        <v>0.63</v>
      </c>
      <c r="N33" s="6"/>
      <c r="O33" s="50"/>
      <c r="P33" s="50"/>
    </row>
    <row r="34" spans="1:16" ht="22.5" customHeight="1">
      <c r="A34" s="26"/>
      <c r="B34" s="31"/>
      <c r="C34" s="61">
        <f t="shared" si="1"/>
      </c>
      <c r="D34" s="16"/>
      <c r="E34" s="29">
        <f t="shared" si="2"/>
      </c>
      <c r="F34" s="30">
        <f t="shared" si="0"/>
      </c>
      <c r="G34" s="62">
        <f t="shared" si="4"/>
      </c>
      <c r="H34" s="62">
        <f t="shared" si="3"/>
      </c>
      <c r="I34" s="55"/>
      <c r="J34" s="55"/>
      <c r="K34" s="7"/>
      <c r="L34" s="4" t="str">
        <f>IF($F$5="M","Concrete Pavement 230 mm","Concrete Pavement 9 inches")</f>
        <v>Concrete Pavement 9 inches</v>
      </c>
      <c r="M34" s="5">
        <f>IF($F$5="M",0.79,0.66)</f>
        <v>0.66</v>
      </c>
      <c r="N34" s="6"/>
      <c r="O34" s="50"/>
      <c r="P34" s="50"/>
    </row>
    <row r="35" spans="1:16" ht="22.5" customHeight="1">
      <c r="A35" s="26"/>
      <c r="B35" s="31"/>
      <c r="C35" s="61">
        <f t="shared" si="1"/>
      </c>
      <c r="D35" s="16"/>
      <c r="E35" s="29">
        <f t="shared" si="2"/>
      </c>
      <c r="F35" s="30">
        <f t="shared" si="0"/>
      </c>
      <c r="G35" s="62">
        <f t="shared" si="4"/>
      </c>
      <c r="H35" s="62">
        <f t="shared" si="3"/>
      </c>
      <c r="I35" s="55"/>
      <c r="J35" s="55"/>
      <c r="K35" s="7"/>
      <c r="L35" s="4" t="str">
        <f>IF($F$5="M","Concrete Pavement 240 mm","Concrete Pavement 9 1/2 inches")</f>
        <v>Concrete Pavement 9 1/2 inches</v>
      </c>
      <c r="M35" s="5">
        <f>IF($F$5="M",0.82,0.69)</f>
        <v>0.69</v>
      </c>
      <c r="N35" s="6"/>
      <c r="O35" s="50"/>
      <c r="P35" s="50"/>
    </row>
    <row r="36" spans="1:16" ht="22.5" customHeight="1">
      <c r="A36" s="26"/>
      <c r="B36" s="31"/>
      <c r="C36" s="61">
        <f t="shared" si="1"/>
      </c>
      <c r="D36" s="16"/>
      <c r="E36" s="29">
        <f t="shared" si="2"/>
      </c>
      <c r="F36" s="30">
        <f t="shared" si="0"/>
      </c>
      <c r="G36" s="62">
        <f t="shared" si="4"/>
      </c>
      <c r="H36" s="62">
        <f t="shared" si="3"/>
      </c>
      <c r="I36" s="55"/>
      <c r="J36" s="55"/>
      <c r="K36" s="7"/>
      <c r="L36" s="4" t="str">
        <f>IF($F$5="M","Concrete Pavement 250 mm","Concrete Pavement 10 inches")</f>
        <v>Concrete Pavement 10 inches</v>
      </c>
      <c r="M36" s="5">
        <f>IF($F$5="M",0.86,0.72)</f>
        <v>0.72</v>
      </c>
      <c r="N36" s="6"/>
      <c r="O36" s="50"/>
      <c r="P36" s="50"/>
    </row>
    <row r="37" spans="1:16" ht="22.5" customHeight="1">
      <c r="A37" s="26"/>
      <c r="B37" s="31"/>
      <c r="C37" s="61">
        <f t="shared" si="1"/>
      </c>
      <c r="D37" s="16"/>
      <c r="E37" s="29">
        <f t="shared" si="2"/>
      </c>
      <c r="F37" s="30">
        <f t="shared" si="0"/>
      </c>
      <c r="G37" s="62">
        <f t="shared" si="4"/>
      </c>
      <c r="H37" s="62">
        <f t="shared" si="3"/>
      </c>
      <c r="I37" s="55"/>
      <c r="J37" s="55"/>
      <c r="K37" s="7"/>
      <c r="L37" s="4">
        <f>IF(F5="M","Concrete Pavement 260 mm","")</f>
      </c>
      <c r="M37" s="5">
        <v>0.86</v>
      </c>
      <c r="N37" s="6"/>
      <c r="O37" s="50"/>
      <c r="P37" s="50"/>
    </row>
    <row r="38" spans="1:16" ht="22.5" customHeight="1">
      <c r="A38" s="26"/>
      <c r="B38" s="31"/>
      <c r="C38" s="61">
        <f t="shared" si="1"/>
      </c>
      <c r="D38" s="16"/>
      <c r="E38" s="29">
        <f t="shared" si="2"/>
      </c>
      <c r="F38" s="30">
        <f t="shared" si="0"/>
      </c>
      <c r="G38" s="62">
        <f t="shared" si="4"/>
      </c>
      <c r="H38" s="62">
        <f t="shared" si="3"/>
      </c>
      <c r="I38" s="55"/>
      <c r="J38" s="55"/>
      <c r="K38" s="7"/>
      <c r="L38" s="4" t="str">
        <f>IF($F$5="M","Concrete Pavement 270 mm","Concrete Pavement 10 1/2 inches")</f>
        <v>Concrete Pavement 10 1/2 inches</v>
      </c>
      <c r="M38" s="5">
        <f>IF($F$5="M",0.89,0.75)</f>
        <v>0.75</v>
      </c>
      <c r="N38" s="6"/>
      <c r="O38" s="50"/>
      <c r="P38" s="50"/>
    </row>
    <row r="39" spans="1:16" ht="22.5" customHeight="1">
      <c r="A39" s="39"/>
      <c r="B39" s="40"/>
      <c r="C39" s="32"/>
      <c r="D39" s="32"/>
      <c r="E39" s="33"/>
      <c r="F39" s="34"/>
      <c r="G39" s="35"/>
      <c r="H39" s="36" t="s">
        <v>66</v>
      </c>
      <c r="I39" s="47"/>
      <c r="J39" s="55"/>
      <c r="K39" s="7"/>
      <c r="L39" s="4" t="str">
        <f>IF($F$5="M","Concrete Pavement 280 mm","Concrete Pavement 11 inches")</f>
        <v>Concrete Pavement 11 inches</v>
      </c>
      <c r="M39" s="5">
        <f>IF($F$5="M",0.93,0.78)</f>
        <v>0.78</v>
      </c>
      <c r="N39" s="6"/>
      <c r="O39" s="50"/>
      <c r="P39" s="50"/>
    </row>
    <row r="40" spans="9:14" ht="12.75">
      <c r="I40" s="41"/>
      <c r="J40" s="41"/>
      <c r="K40" s="7"/>
      <c r="L40" s="4" t="str">
        <f>IF($F$5="M","Concrete Pavement 290 mm","Concrete Pavement 11 1/2 inches")</f>
        <v>Concrete Pavement 11 1/2 inches</v>
      </c>
      <c r="M40" s="5">
        <f>IF($F$5="M",0.96,0.81)</f>
        <v>0.81</v>
      </c>
      <c r="N40" s="6"/>
    </row>
    <row r="41" spans="1:14" ht="12.75">
      <c r="A41" s="42"/>
      <c r="B41" s="43"/>
      <c r="C41" s="44"/>
      <c r="D41" s="44"/>
      <c r="E41" s="45"/>
      <c r="F41" s="46"/>
      <c r="G41" s="47"/>
      <c r="H41" s="47"/>
      <c r="I41" s="47"/>
      <c r="J41" s="47"/>
      <c r="K41" s="7"/>
      <c r="L41" s="4" t="str">
        <f>IF($F$5="M","Concrete Pavement 300 mm","Concrete Pavement 12 inches")</f>
        <v>Concrete Pavement 12 inches</v>
      </c>
      <c r="M41" s="5">
        <f>IF($F$5="M",0.99,0.83)</f>
        <v>0.83</v>
      </c>
      <c r="N41" s="6"/>
    </row>
    <row r="42" spans="1:14" ht="12.75">
      <c r="A42" s="42"/>
      <c r="B42" s="43"/>
      <c r="C42" s="44"/>
      <c r="D42" s="44"/>
      <c r="E42" s="45"/>
      <c r="F42" s="46"/>
      <c r="G42" s="47"/>
      <c r="H42" s="47"/>
      <c r="I42" s="47"/>
      <c r="J42" s="47"/>
      <c r="K42" s="7"/>
      <c r="L42" s="4" t="str">
        <f>IF($F$5="M","Concrete Pavement 320 mm","Concrete Pavement 12 1/2 inches")</f>
        <v>Concrete Pavement 12 1/2 inches</v>
      </c>
      <c r="M42" s="5">
        <f>IF($F$5="M",1.02,0.86)</f>
        <v>0.86</v>
      </c>
      <c r="N42" s="6"/>
    </row>
    <row r="43" spans="1:14" ht="12.75">
      <c r="A43" s="42"/>
      <c r="B43" s="43"/>
      <c r="C43" s="44"/>
      <c r="D43" s="44"/>
      <c r="E43" s="45"/>
      <c r="F43" s="46"/>
      <c r="G43" s="47"/>
      <c r="H43" s="47"/>
      <c r="I43" s="47"/>
      <c r="J43" s="47"/>
      <c r="K43" s="7"/>
      <c r="L43" s="4" t="str">
        <f>IF($F$5="M","Concrete Pavement 330 mm","Concrete Pavement 13 inches")</f>
        <v>Concrete Pavement 13 inches</v>
      </c>
      <c r="M43" s="5">
        <f>IF($F$5="M",1.06,0.89)</f>
        <v>0.89</v>
      </c>
      <c r="N43" s="6"/>
    </row>
    <row r="44" spans="1:14" ht="12.75">
      <c r="A44" s="42"/>
      <c r="B44" s="43"/>
      <c r="C44" s="44"/>
      <c r="D44" s="44"/>
      <c r="E44" s="45"/>
      <c r="F44" s="46"/>
      <c r="G44" s="47"/>
      <c r="H44" s="47"/>
      <c r="I44" s="47"/>
      <c r="J44" s="47"/>
      <c r="K44" s="7"/>
      <c r="L44" s="4" t="str">
        <f>IF($F$5="M","Concrete Pavement 340 mm","Concrete Pavement 13 1/2 inches")</f>
        <v>Concrete Pavement 13 1/2 inches</v>
      </c>
      <c r="M44" s="5">
        <f>IF($F$5="M",1.1,0.92)</f>
        <v>0.92</v>
      </c>
      <c r="N44" s="6"/>
    </row>
    <row r="45" spans="1:14" ht="12.75">
      <c r="A45" s="42"/>
      <c r="B45" s="43"/>
      <c r="C45" s="44"/>
      <c r="D45" s="44"/>
      <c r="E45" s="45"/>
      <c r="F45" s="46"/>
      <c r="G45" s="47"/>
      <c r="H45" s="47"/>
      <c r="I45" s="47"/>
      <c r="J45" s="47"/>
      <c r="K45" s="7"/>
      <c r="L45" s="4" t="str">
        <f>IF($F$5="M","Concrete Pavement 360 mm","Concrete Pavement 14 inches")</f>
        <v>Concrete Pavement 14 inches</v>
      </c>
      <c r="M45" s="5">
        <f>IF($F$5="M",1.14,0.95)</f>
        <v>0.95</v>
      </c>
      <c r="N45" s="6"/>
    </row>
    <row r="46" spans="1:14" ht="12.75">
      <c r="A46" s="48"/>
      <c r="B46" s="48"/>
      <c r="C46" s="48"/>
      <c r="D46" s="48"/>
      <c r="E46" s="49"/>
      <c r="F46" s="48"/>
      <c r="G46" s="48"/>
      <c r="H46" s="48"/>
      <c r="I46" s="48"/>
      <c r="J46" s="48"/>
      <c r="K46" s="7"/>
      <c r="L46" s="4" t="str">
        <f>IF($F$5="M","Concrete Pavement 370 mm","Concrete Pavement 14 1/2 inches")</f>
        <v>Concrete Pavement 14 1/2 inches</v>
      </c>
      <c r="M46" s="5">
        <f>IF($F$5="M",1.17,0.98)</f>
        <v>0.98</v>
      </c>
      <c r="N46" s="6"/>
    </row>
    <row r="47" spans="1:14" ht="12.75">
      <c r="A47" s="50"/>
      <c r="B47" s="50"/>
      <c r="C47" s="50"/>
      <c r="D47" s="50"/>
      <c r="E47" s="51"/>
      <c r="F47" s="50"/>
      <c r="G47" s="50"/>
      <c r="H47" s="50"/>
      <c r="I47" s="50"/>
      <c r="J47" s="50"/>
      <c r="K47" s="7"/>
      <c r="L47" s="4" t="s">
        <v>60</v>
      </c>
      <c r="M47" s="5">
        <f>IF($F$5="M",334.65,10.2)</f>
        <v>10.2</v>
      </c>
      <c r="N47" s="6"/>
    </row>
    <row r="48" spans="1:14" ht="12.75">
      <c r="A48" s="50"/>
      <c r="B48" s="50"/>
      <c r="C48" s="50"/>
      <c r="D48" s="50"/>
      <c r="E48" s="51"/>
      <c r="F48" s="50"/>
      <c r="G48" s="50"/>
      <c r="H48" s="50"/>
      <c r="I48" s="50"/>
      <c r="J48" s="50"/>
      <c r="K48" s="7"/>
      <c r="L48" s="4" t="s">
        <v>59</v>
      </c>
      <c r="M48" s="5">
        <f>IF($F$5="M",2.65,2.4)</f>
        <v>2.4</v>
      </c>
      <c r="N48" s="6"/>
    </row>
    <row r="49" spans="1:14" ht="12.75">
      <c r="A49" s="50"/>
      <c r="B49" s="50"/>
      <c r="C49" s="50"/>
      <c r="D49" s="50"/>
      <c r="E49" s="51"/>
      <c r="F49" s="50"/>
      <c r="G49" s="50"/>
      <c r="H49" s="50"/>
      <c r="I49" s="50"/>
      <c r="J49" s="50"/>
      <c r="K49" s="7"/>
      <c r="L49" s="4" t="s">
        <v>64</v>
      </c>
      <c r="M49" s="5">
        <f>IF($F$5="M",2.65,2.4)</f>
        <v>2.4</v>
      </c>
      <c r="N49" s="6"/>
    </row>
    <row r="50" spans="1:14" ht="12.75">
      <c r="A50" s="50"/>
      <c r="B50" s="50"/>
      <c r="C50" s="50"/>
      <c r="D50" s="50"/>
      <c r="E50" s="51"/>
      <c r="F50" s="50"/>
      <c r="G50" s="50"/>
      <c r="H50" s="50"/>
      <c r="I50" s="50"/>
      <c r="J50" s="50"/>
      <c r="K50" s="7"/>
      <c r="L50" s="4" t="s">
        <v>65</v>
      </c>
      <c r="M50" s="5">
        <f>IF($F$5="M",2.65,2.4)</f>
        <v>2.4</v>
      </c>
      <c r="N50" s="6"/>
    </row>
    <row r="51" spans="11:13" ht="12.75">
      <c r="K51" s="7"/>
      <c r="L51" s="4"/>
      <c r="M51" s="5"/>
    </row>
    <row r="52" spans="11:13" ht="12.75">
      <c r="K52" s="7"/>
      <c r="L52" s="6"/>
      <c r="M52" s="6"/>
    </row>
    <row r="53" spans="11:13" ht="12.75">
      <c r="K53" s="7"/>
      <c r="L53" s="37"/>
      <c r="M53" s="37"/>
    </row>
    <row r="54" spans="11:13" ht="12.75">
      <c r="K54" s="7"/>
      <c r="L54" s="37"/>
      <c r="M54" s="37"/>
    </row>
    <row r="55" spans="12:13" ht="12.75">
      <c r="L55" s="37"/>
      <c r="M55" s="37"/>
    </row>
    <row r="56" spans="12:13" ht="12.75">
      <c r="L56" s="37"/>
      <c r="M56" s="37"/>
    </row>
    <row r="57" spans="12:13" ht="12.75">
      <c r="L57" s="37"/>
      <c r="M57" s="37"/>
    </row>
    <row r="58" spans="12:13" ht="12.75">
      <c r="L58" s="37"/>
      <c r="M58" s="37"/>
    </row>
    <row r="59" spans="12:13" ht="12.75">
      <c r="L59" s="37"/>
      <c r="M59" s="37"/>
    </row>
    <row r="60" spans="12:13" ht="12.75">
      <c r="L60" s="37"/>
      <c r="M60" s="37"/>
    </row>
    <row r="61" spans="12:13" ht="12.75">
      <c r="L61" s="37"/>
      <c r="M61" s="37"/>
    </row>
    <row r="62" spans="12:13" ht="12.75">
      <c r="L62" s="37"/>
      <c r="M62" s="37"/>
    </row>
    <row r="63" spans="12:13" ht="12.75">
      <c r="L63" s="37"/>
      <c r="M63" s="37"/>
    </row>
    <row r="64" spans="12:13" ht="12.75">
      <c r="L64" s="37"/>
      <c r="M64" s="37"/>
    </row>
    <row r="65" spans="12:13" ht="12.75">
      <c r="L65" s="37"/>
      <c r="M65" s="37"/>
    </row>
    <row r="66" spans="12:13" ht="12.75">
      <c r="L66" s="37"/>
      <c r="M66" s="37"/>
    </row>
    <row r="67" spans="12:13" ht="12.75">
      <c r="L67" s="37"/>
      <c r="M67" s="37"/>
    </row>
    <row r="68" spans="12:13" ht="12.75">
      <c r="L68" s="37"/>
      <c r="M68" s="37"/>
    </row>
    <row r="69" spans="12:13" ht="12.75">
      <c r="L69" s="37"/>
      <c r="M69" s="37"/>
    </row>
    <row r="70" ht="12.75">
      <c r="L70" s="37"/>
    </row>
    <row r="71" ht="12.75">
      <c r="L71" s="37"/>
    </row>
    <row r="72" ht="12.75">
      <c r="L72" s="37"/>
    </row>
  </sheetData>
  <sheetProtection password="BF11" sheet="1" objects="1" scenarios="1" selectLockedCells="1"/>
  <mergeCells count="4">
    <mergeCell ref="F3:H3"/>
    <mergeCell ref="F4:H4"/>
    <mergeCell ref="D5:E5"/>
    <mergeCell ref="B6:E6"/>
  </mergeCells>
  <dataValidations count="1">
    <dataValidation type="list" allowBlank="1" showInputMessage="1" showErrorMessage="1" promptTitle="Data Entry Restriction!" prompt="Please select one item from this drop down box. No other values will be accepted." errorTitle="Wrong data!" error="Please enter a value from the drop down list." sqref="B6:E6">
      <formula1>$L$7:$L$50</formula1>
    </dataValidation>
  </dataValidations>
  <printOptions/>
  <pageMargins left="1.06" right="0.5" top="0.5" bottom="0" header="0.5" footer="0"/>
  <pageSetup blackAndWhite="1" fitToHeight="1" fitToWidth="1" horizontalDpi="600" verticalDpi="600" orientation="portrait" scale="9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"/>
  <sheetViews>
    <sheetView showGridLines="0" showRowColHeaders="0" zoomScalePageLayoutView="0" workbookViewId="0" topLeftCell="A1">
      <selection activeCell="B6" sqref="B6:E6"/>
    </sheetView>
  </sheetViews>
  <sheetFormatPr defaultColWidth="9.140625" defaultRowHeight="12.75"/>
  <cols>
    <col min="1" max="1" width="13.00390625" style="0" customWidth="1"/>
    <col min="2" max="2" width="13.28125" style="0" customWidth="1"/>
    <col min="3" max="3" width="9.00390625" style="0" customWidth="1"/>
    <col min="4" max="4" width="9.28125" style="0" customWidth="1"/>
    <col min="5" max="5" width="11.00390625" style="1" customWidth="1"/>
    <col min="6" max="6" width="10.57421875" style="0" customWidth="1"/>
    <col min="7" max="8" width="16.00390625" style="0" bestFit="1" customWidth="1"/>
    <col min="11" max="11" width="3.57421875" style="0" customWidth="1"/>
    <col min="12" max="12" width="47.00390625" style="0" hidden="1" customWidth="1"/>
    <col min="13" max="13" width="8.28125" style="0" hidden="1" customWidth="1"/>
    <col min="14" max="14" width="7.140625" style="0" customWidth="1"/>
    <col min="15" max="16" width="9.140625" style="0" customWidth="1"/>
  </cols>
  <sheetData>
    <row r="1" spans="1:16" ht="15">
      <c r="A1" s="8"/>
      <c r="B1" s="8"/>
      <c r="C1" s="9" t="s">
        <v>67</v>
      </c>
      <c r="D1" s="8"/>
      <c r="E1" s="10"/>
      <c r="F1" s="8"/>
      <c r="G1" s="8"/>
      <c r="H1" s="8"/>
      <c r="I1" s="52"/>
      <c r="J1" s="52"/>
      <c r="K1" s="50"/>
      <c r="L1" s="50"/>
      <c r="M1" s="50"/>
      <c r="N1" s="50"/>
      <c r="O1" s="50"/>
      <c r="P1" s="50"/>
    </row>
    <row r="2" spans="1:16" ht="17.25" customHeight="1">
      <c r="A2" s="8"/>
      <c r="B2" s="8"/>
      <c r="C2" s="8"/>
      <c r="D2" s="8"/>
      <c r="E2" s="10"/>
      <c r="F2" s="8"/>
      <c r="G2" s="8"/>
      <c r="H2" s="8"/>
      <c r="I2" s="52"/>
      <c r="J2" s="52"/>
      <c r="K2" s="50"/>
      <c r="L2" s="50"/>
      <c r="M2" s="50"/>
      <c r="N2" s="50"/>
      <c r="O2" s="50"/>
      <c r="P2" s="50"/>
    </row>
    <row r="3" spans="1:16" ht="21" customHeight="1">
      <c r="A3" s="11"/>
      <c r="B3" s="12"/>
      <c r="C3" s="11"/>
      <c r="D3" s="11"/>
      <c r="E3" s="63" t="s">
        <v>42</v>
      </c>
      <c r="F3" s="97">
        <f>IF('Item 1'!F3:H3="","",'Item 1'!F3:H3)</f>
      </c>
      <c r="G3" s="97"/>
      <c r="H3" s="97"/>
      <c r="I3" s="53"/>
      <c r="J3" s="53"/>
      <c r="K3" s="50"/>
      <c r="L3" s="50"/>
      <c r="M3" s="50"/>
      <c r="N3" s="50"/>
      <c r="O3" s="50"/>
      <c r="P3" s="50"/>
    </row>
    <row r="4" spans="1:16" ht="21" customHeight="1">
      <c r="A4" s="13" t="s">
        <v>43</v>
      </c>
      <c r="B4" s="82">
        <f>IF('Item 1'!B4="","",'Item 1'!B4)</f>
      </c>
      <c r="C4" s="38"/>
      <c r="D4" s="11"/>
      <c r="E4" s="64" t="s">
        <v>41</v>
      </c>
      <c r="F4" s="98">
        <f>IF('Item 1'!F4:H4="","",'Item 1'!F4:H4)</f>
      </c>
      <c r="G4" s="99"/>
      <c r="H4" s="100"/>
      <c r="I4" s="53"/>
      <c r="J4" s="53"/>
      <c r="K4" s="50"/>
      <c r="L4" s="57"/>
      <c r="M4" s="50"/>
      <c r="N4" s="50"/>
      <c r="O4" s="50"/>
      <c r="P4" s="50"/>
    </row>
    <row r="5" spans="1:16" ht="21" customHeight="1">
      <c r="A5" s="79" t="s">
        <v>44</v>
      </c>
      <c r="B5" s="15"/>
      <c r="C5" s="81">
        <f>IF('Item 1'!C5="","",'Item 1'!C5)</f>
      </c>
      <c r="D5" s="95" t="s">
        <v>46</v>
      </c>
      <c r="E5" s="96"/>
      <c r="F5" s="80">
        <f>IF('Item 1'!F5="","",'Item 1'!F5)</f>
      </c>
      <c r="G5" s="65" t="s">
        <v>45</v>
      </c>
      <c r="H5" s="60">
        <f>IF(B6="","",VLOOKUP(B6,L7:M50,2,FALSE))</f>
      </c>
      <c r="I5" s="53"/>
      <c r="J5" s="53"/>
      <c r="K5" s="4"/>
      <c r="L5" s="56"/>
      <c r="N5" s="4"/>
      <c r="O5" s="50"/>
      <c r="P5" s="50"/>
    </row>
    <row r="6" spans="1:16" ht="21" customHeight="1">
      <c r="A6" s="79" t="s">
        <v>20</v>
      </c>
      <c r="B6" s="88"/>
      <c r="C6" s="89"/>
      <c r="D6" s="89"/>
      <c r="E6" s="90"/>
      <c r="F6" s="58"/>
      <c r="H6" s="59"/>
      <c r="I6" s="53"/>
      <c r="J6" s="53"/>
      <c r="K6" s="4"/>
      <c r="L6" s="4" t="s">
        <v>21</v>
      </c>
      <c r="M6" s="4" t="s">
        <v>37</v>
      </c>
      <c r="O6" s="50"/>
      <c r="P6" s="4"/>
    </row>
    <row r="7" spans="1:16" ht="12.75">
      <c r="A7" s="11"/>
      <c r="B7" s="11"/>
      <c r="C7" s="17"/>
      <c r="D7" s="11"/>
      <c r="E7" s="7"/>
      <c r="F7" s="11"/>
      <c r="G7" s="11"/>
      <c r="H7" s="11"/>
      <c r="I7" s="53"/>
      <c r="J7" s="53"/>
      <c r="K7" s="4"/>
      <c r="L7" s="4" t="s">
        <v>22</v>
      </c>
      <c r="M7" s="5">
        <f>IF($F$5="M",0.33,0.25)</f>
        <v>0.25</v>
      </c>
      <c r="O7" s="50"/>
      <c r="P7" s="5"/>
    </row>
    <row r="8" spans="1:16" ht="12.75">
      <c r="A8" s="18" t="s">
        <v>0</v>
      </c>
      <c r="B8" s="18" t="s">
        <v>18</v>
      </c>
      <c r="C8" s="19" t="s">
        <v>2</v>
      </c>
      <c r="D8" s="18" t="s">
        <v>5</v>
      </c>
      <c r="E8" s="20" t="s">
        <v>8</v>
      </c>
      <c r="F8" s="18" t="s">
        <v>10</v>
      </c>
      <c r="G8" s="18" t="s">
        <v>13</v>
      </c>
      <c r="H8" s="18" t="s">
        <v>8</v>
      </c>
      <c r="I8" s="54"/>
      <c r="J8" s="54"/>
      <c r="K8" s="4"/>
      <c r="L8" s="4" t="s">
        <v>61</v>
      </c>
      <c r="M8" s="5">
        <f>IF($F$5="M",0.33,0.25)</f>
        <v>0.25</v>
      </c>
      <c r="O8" s="50"/>
      <c r="P8" s="5"/>
    </row>
    <row r="9" spans="1:16" ht="12.75">
      <c r="A9" s="21"/>
      <c r="B9" s="22" t="s">
        <v>16</v>
      </c>
      <c r="C9" s="22" t="s">
        <v>3</v>
      </c>
      <c r="D9" s="22" t="s">
        <v>6</v>
      </c>
      <c r="E9" s="23"/>
      <c r="F9" s="22" t="s">
        <v>11</v>
      </c>
      <c r="G9" s="22" t="s">
        <v>14</v>
      </c>
      <c r="H9" s="22" t="s">
        <v>9</v>
      </c>
      <c r="I9" s="54"/>
      <c r="J9" s="54"/>
      <c r="K9" s="4"/>
      <c r="L9" s="4" t="s">
        <v>19</v>
      </c>
      <c r="M9" s="5">
        <f>IF($F$5="M",0.43,0.33)</f>
        <v>0.33</v>
      </c>
      <c r="O9" s="50"/>
      <c r="P9" s="5"/>
    </row>
    <row r="10" spans="1:16" ht="12.75">
      <c r="A10" s="24" t="s">
        <v>1</v>
      </c>
      <c r="B10" s="24" t="s">
        <v>17</v>
      </c>
      <c r="C10" s="24" t="s">
        <v>4</v>
      </c>
      <c r="D10" s="24" t="s">
        <v>7</v>
      </c>
      <c r="E10" s="25" t="s">
        <v>9</v>
      </c>
      <c r="F10" s="24" t="s">
        <v>12</v>
      </c>
      <c r="G10" s="24" t="s">
        <v>15</v>
      </c>
      <c r="H10" s="24" t="s">
        <v>15</v>
      </c>
      <c r="I10" s="54"/>
      <c r="J10" s="54"/>
      <c r="K10" s="4"/>
      <c r="L10" s="4" t="s">
        <v>62</v>
      </c>
      <c r="M10" s="5">
        <f>IF($F$5="M",0.43,0.33)</f>
        <v>0.33</v>
      </c>
      <c r="O10" s="50"/>
      <c r="P10" s="5"/>
    </row>
    <row r="11" spans="1:16" ht="22.5" customHeight="1">
      <c r="A11" s="26"/>
      <c r="B11" s="27"/>
      <c r="C11" s="61">
        <f>IF(H5="","",ABS($H$5))</f>
      </c>
      <c r="D11" s="28"/>
      <c r="E11" s="29">
        <f>IF(D11="","",+D11)</f>
      </c>
      <c r="F11" s="30">
        <f>+IF(B11="","",(B11-$C$5))</f>
      </c>
      <c r="G11" s="62">
        <f>IF(C11="","",IF(F11="","",+C11*D11*F11))</f>
      </c>
      <c r="H11" s="62">
        <f>+G11</f>
      </c>
      <c r="I11" s="54"/>
      <c r="J11" s="54"/>
      <c r="K11" s="4"/>
      <c r="L11" s="4" t="s">
        <v>24</v>
      </c>
      <c r="M11" s="5">
        <f>IF($F$5="M",0.38,0.29)</f>
        <v>0.29</v>
      </c>
      <c r="O11" s="50"/>
      <c r="P11" s="5"/>
    </row>
    <row r="12" spans="1:16" ht="22.5" customHeight="1">
      <c r="A12" s="26"/>
      <c r="B12" s="31"/>
      <c r="C12" s="61">
        <f>IF(B12="","",ABS($H$5))</f>
      </c>
      <c r="D12" s="16"/>
      <c r="E12" s="29">
        <f>IF(D12="","",+D12+E11)</f>
      </c>
      <c r="F12" s="30">
        <f aca="true" t="shared" si="0" ref="F12:F38">+IF(B12="","",(B12-$C$5))</f>
      </c>
      <c r="G12" s="62">
        <f>IF(C12="","",IF(F12="","",+C12*D12*F12))</f>
      </c>
      <c r="H12" s="62">
        <f>IF(G12="","",+H11+G12)</f>
      </c>
      <c r="I12" s="55"/>
      <c r="J12" s="55"/>
      <c r="K12" s="4"/>
      <c r="L12" s="4" t="s">
        <v>25</v>
      </c>
      <c r="M12" s="5">
        <f>IF($F$5="M",0.39,0.3)</f>
        <v>0.3</v>
      </c>
      <c r="O12" s="50"/>
      <c r="P12" s="5"/>
    </row>
    <row r="13" spans="1:16" ht="22.5" customHeight="1">
      <c r="A13" s="26"/>
      <c r="B13" s="31"/>
      <c r="C13" s="61">
        <f aca="true" t="shared" si="1" ref="C13:C38">IF(B13="","",ABS($H$5))</f>
      </c>
      <c r="D13" s="16"/>
      <c r="E13" s="29">
        <f aca="true" t="shared" si="2" ref="E13:E38">IF(D13="","",+D13+E12)</f>
      </c>
      <c r="F13" s="30">
        <f t="shared" si="0"/>
      </c>
      <c r="G13" s="62">
        <f>IF(C13="","",IF(F13="","",+C13*D13*F13))</f>
      </c>
      <c r="H13" s="62">
        <f aca="true" t="shared" si="3" ref="H13:H38">IF(G13="","",+H12+G13)</f>
      </c>
      <c r="I13" s="55"/>
      <c r="J13" s="55"/>
      <c r="K13" s="4"/>
      <c r="L13" s="4" t="s">
        <v>63</v>
      </c>
      <c r="M13" s="5">
        <f>IF($F$5="M",0.36,0.3)</f>
        <v>0.3</v>
      </c>
      <c r="O13" s="50"/>
      <c r="P13" s="5"/>
    </row>
    <row r="14" spans="1:16" ht="22.5" customHeight="1">
      <c r="A14" s="26"/>
      <c r="B14" s="31"/>
      <c r="C14" s="61">
        <f t="shared" si="1"/>
      </c>
      <c r="D14" s="16"/>
      <c r="E14" s="29">
        <f t="shared" si="2"/>
      </c>
      <c r="F14" s="30">
        <f t="shared" si="0"/>
      </c>
      <c r="G14" s="62">
        <f>IF(C14="","",IF(F14="","",+C14*D14*F14))</f>
      </c>
      <c r="H14" s="62">
        <f t="shared" si="3"/>
      </c>
      <c r="I14" s="55"/>
      <c r="J14" s="55"/>
      <c r="K14" s="66"/>
      <c r="L14" s="4" t="str">
        <f>IF($F$5="M","Concrete Placement:  75mm","Concrete Placement:  3 inches")</f>
        <v>Concrete Placement:  3 inches</v>
      </c>
      <c r="M14" s="5">
        <f>IF($F$5="M",0.36,0.3)</f>
        <v>0.3</v>
      </c>
      <c r="O14" s="50"/>
      <c r="P14" s="67"/>
    </row>
    <row r="15" spans="1:16" ht="22.5" customHeight="1">
      <c r="A15" s="26"/>
      <c r="B15" s="31"/>
      <c r="C15" s="61">
        <f t="shared" si="1"/>
      </c>
      <c r="D15" s="16"/>
      <c r="E15" s="29">
        <f t="shared" si="2"/>
      </c>
      <c r="F15" s="30">
        <f t="shared" si="0"/>
      </c>
      <c r="G15" s="62">
        <f>IF(C15="","",IF(F15="","",+C15*D15*F15))</f>
      </c>
      <c r="H15" s="62">
        <f t="shared" si="3"/>
      </c>
      <c r="I15" s="55"/>
      <c r="J15" s="55"/>
      <c r="K15" s="66"/>
      <c r="L15" s="4" t="str">
        <f>IF($F$5="M","","Concrete Placement:  3.5 inches")</f>
        <v>Concrete Placement:  3.5 inches</v>
      </c>
      <c r="M15" s="5">
        <f>IF($F$5="M",0.39,0.33)</f>
        <v>0.33</v>
      </c>
      <c r="O15" s="50"/>
      <c r="P15" s="67"/>
    </row>
    <row r="16" spans="1:16" ht="22.5" customHeight="1">
      <c r="A16" s="26"/>
      <c r="B16" s="31"/>
      <c r="C16" s="61">
        <f t="shared" si="1"/>
      </c>
      <c r="D16" s="16"/>
      <c r="E16" s="29">
        <f t="shared" si="2"/>
      </c>
      <c r="F16" s="30">
        <f t="shared" si="0"/>
      </c>
      <c r="G16" s="62">
        <f aca="true" t="shared" si="4" ref="G16:G38">IF(F16="","",+C16*D16*F16)</f>
      </c>
      <c r="H16" s="62">
        <f t="shared" si="3"/>
      </c>
      <c r="I16" s="55"/>
      <c r="J16" s="55"/>
      <c r="K16" s="4"/>
      <c r="L16" s="4" t="str">
        <f>IF($F$5="M","Concrete Placement:  100mm","Concrete Placement:  4 inches")</f>
        <v>Concrete Placement:  4 inches</v>
      </c>
      <c r="M16" s="5">
        <f>IF($F$5="M",0.43,0.36)</f>
        <v>0.36</v>
      </c>
      <c r="O16" s="50"/>
      <c r="P16" s="5"/>
    </row>
    <row r="17" spans="1:16" ht="22.5" customHeight="1">
      <c r="A17" s="26"/>
      <c r="B17" s="31"/>
      <c r="C17" s="61">
        <f t="shared" si="1"/>
      </c>
      <c r="D17" s="16"/>
      <c r="E17" s="29">
        <f t="shared" si="2"/>
      </c>
      <c r="F17" s="30">
        <f t="shared" si="0"/>
      </c>
      <c r="G17" s="62">
        <f t="shared" si="4"/>
      </c>
      <c r="H17" s="62">
        <f t="shared" si="3"/>
      </c>
      <c r="I17" s="55"/>
      <c r="J17" s="55"/>
      <c r="K17" s="66"/>
      <c r="L17" s="4" t="str">
        <f>IF($F$5="M","","Concrete Placement:  4.5 inches")</f>
        <v>Concrete Placement:  4.5 inches</v>
      </c>
      <c r="M17" s="5">
        <f>IF($F$5="M",0.46,0.39)</f>
        <v>0.39</v>
      </c>
      <c r="O17" s="50"/>
      <c r="P17" s="67"/>
    </row>
    <row r="18" spans="1:16" ht="22.5" customHeight="1">
      <c r="A18" s="26"/>
      <c r="B18" s="31"/>
      <c r="C18" s="61">
        <f t="shared" si="1"/>
      </c>
      <c r="D18" s="16"/>
      <c r="E18" s="29">
        <f t="shared" si="2"/>
      </c>
      <c r="F18" s="30">
        <f t="shared" si="0"/>
      </c>
      <c r="G18" s="62">
        <f t="shared" si="4"/>
      </c>
      <c r="H18" s="62">
        <f t="shared" si="3"/>
      </c>
      <c r="I18" s="55"/>
      <c r="J18" s="55"/>
      <c r="K18" s="4"/>
      <c r="L18" s="4" t="str">
        <f>IF($F$5="M","Concrete Placement:  140mm","Concrete Placement:  5 inches")</f>
        <v>Concrete Placement:  5 inches</v>
      </c>
      <c r="M18" s="5">
        <f>IF($F$5="M",0.5,0.42)</f>
        <v>0.42</v>
      </c>
      <c r="O18" s="50"/>
      <c r="P18" s="5"/>
    </row>
    <row r="19" spans="1:16" ht="22.5" customHeight="1">
      <c r="A19" s="26"/>
      <c r="B19" s="31"/>
      <c r="C19" s="61">
        <f t="shared" si="1"/>
      </c>
      <c r="D19" s="16"/>
      <c r="E19" s="29">
        <f t="shared" si="2"/>
      </c>
      <c r="F19" s="30">
        <f t="shared" si="0"/>
      </c>
      <c r="G19" s="62">
        <f t="shared" si="4"/>
      </c>
      <c r="H19" s="62">
        <f t="shared" si="3"/>
      </c>
      <c r="I19" s="55"/>
      <c r="J19" s="55"/>
      <c r="K19" s="66"/>
      <c r="L19" s="4" t="str">
        <f>IF($F$5="M","","Concrete Placement:  5.5 inches")</f>
        <v>Concrete Placement:  5.5 inches</v>
      </c>
      <c r="M19" s="5">
        <f>IF($F$5="M",0.53,0.45)</f>
        <v>0.45</v>
      </c>
      <c r="O19" s="50"/>
      <c r="P19" s="67"/>
    </row>
    <row r="20" spans="1:16" ht="21" customHeight="1">
      <c r="A20" s="26"/>
      <c r="B20" s="31"/>
      <c r="C20" s="61">
        <f t="shared" si="1"/>
      </c>
      <c r="D20" s="16"/>
      <c r="E20" s="29">
        <f t="shared" si="2"/>
      </c>
      <c r="F20" s="30">
        <f t="shared" si="0"/>
      </c>
      <c r="G20" s="62">
        <f t="shared" si="4"/>
      </c>
      <c r="H20" s="62">
        <f t="shared" si="3"/>
      </c>
      <c r="I20" s="55"/>
      <c r="J20" s="55"/>
      <c r="K20" s="4"/>
      <c r="L20" s="4" t="str">
        <f>IF($F$5="M","Concrete Placement:  160mm","Concrete Placement:  6 inches")</f>
        <v>Concrete Placement:  6 inches</v>
      </c>
      <c r="M20" s="5">
        <f>IF($F$5="M",0.57,0.48)</f>
        <v>0.48</v>
      </c>
      <c r="O20" s="50"/>
      <c r="P20" s="5"/>
    </row>
    <row r="21" spans="1:16" ht="21" customHeight="1">
      <c r="A21" s="26"/>
      <c r="B21" s="31"/>
      <c r="C21" s="61">
        <f t="shared" si="1"/>
      </c>
      <c r="D21" s="16"/>
      <c r="E21" s="29">
        <f t="shared" si="2"/>
      </c>
      <c r="F21" s="30">
        <f t="shared" si="0"/>
      </c>
      <c r="G21" s="62">
        <f t="shared" si="4"/>
      </c>
      <c r="H21" s="62">
        <f t="shared" si="3"/>
      </c>
      <c r="I21" s="55"/>
      <c r="J21" s="55"/>
      <c r="K21" s="66"/>
      <c r="L21" s="4" t="str">
        <f>IF($F$5="M","Bonded Concrete Pavement (75mm)","Bonded Concrete Pavement (3 inches)")</f>
        <v>Bonded Concrete Pavement (3 inches)</v>
      </c>
      <c r="M21" s="5">
        <f>IF($F$5="M",0.36,0.3)</f>
        <v>0.3</v>
      </c>
      <c r="O21" s="50"/>
      <c r="P21" s="67"/>
    </row>
    <row r="22" spans="1:16" ht="21" customHeight="1">
      <c r="A22" s="26"/>
      <c r="B22" s="31"/>
      <c r="C22" s="61">
        <f t="shared" si="1"/>
      </c>
      <c r="D22" s="16"/>
      <c r="E22" s="29">
        <f t="shared" si="2"/>
      </c>
      <c r="F22" s="30">
        <f t="shared" si="0"/>
      </c>
      <c r="G22" s="62">
        <f t="shared" si="4"/>
      </c>
      <c r="H22" s="62">
        <f t="shared" si="3"/>
      </c>
      <c r="I22" s="55"/>
      <c r="J22" s="55"/>
      <c r="K22" s="4"/>
      <c r="L22" s="4" t="str">
        <f>IF($F$5="M","","Bonded Concrete Pavement (3.5 inches)")</f>
        <v>Bonded Concrete Pavement (3.5 inches)</v>
      </c>
      <c r="M22" s="5">
        <f>IF($F$5="M",0.39,0.33)</f>
        <v>0.33</v>
      </c>
      <c r="O22" s="50"/>
      <c r="P22" s="5"/>
    </row>
    <row r="23" spans="1:16" ht="22.5" customHeight="1">
      <c r="A23" s="26"/>
      <c r="B23" s="31"/>
      <c r="C23" s="61">
        <f t="shared" si="1"/>
      </c>
      <c r="D23" s="16"/>
      <c r="E23" s="29">
        <f t="shared" si="2"/>
      </c>
      <c r="F23" s="30">
        <f t="shared" si="0"/>
      </c>
      <c r="G23" s="62">
        <f t="shared" si="4"/>
      </c>
      <c r="H23" s="62">
        <f t="shared" si="3"/>
      </c>
      <c r="I23" s="55"/>
      <c r="J23" s="55"/>
      <c r="K23" s="66"/>
      <c r="L23" s="4" t="str">
        <f>IF($F$5="M","Bonded Concrete Pavement (100mm)","Bonded Concrete Pavement (4 inches)")</f>
        <v>Bonded Concrete Pavement (4 inches)</v>
      </c>
      <c r="M23" s="5">
        <f>IF($F$5="M",0.43,0.36)</f>
        <v>0.36</v>
      </c>
      <c r="O23" s="50"/>
      <c r="P23" s="67"/>
    </row>
    <row r="24" spans="1:16" ht="22.5" customHeight="1">
      <c r="A24" s="26"/>
      <c r="B24" s="31"/>
      <c r="C24" s="61">
        <f t="shared" si="1"/>
      </c>
      <c r="D24" s="16"/>
      <c r="E24" s="29">
        <f t="shared" si="2"/>
      </c>
      <c r="F24" s="30">
        <f t="shared" si="0"/>
      </c>
      <c r="G24" s="62">
        <f t="shared" si="4"/>
      </c>
      <c r="H24" s="62">
        <f t="shared" si="3"/>
      </c>
      <c r="I24" s="55"/>
      <c r="J24" s="55"/>
      <c r="K24" s="4"/>
      <c r="L24" s="4" t="str">
        <f>IF($F$5="M","","Bonded Concrete Pavement (4.5 inches)")</f>
        <v>Bonded Concrete Pavement (4.5 inches)</v>
      </c>
      <c r="M24" s="5">
        <f>IF($F$5="M",0.46,0.39)</f>
        <v>0.39</v>
      </c>
      <c r="O24" s="50"/>
      <c r="P24" s="5"/>
    </row>
    <row r="25" spans="1:16" ht="22.5" customHeight="1">
      <c r="A25" s="26"/>
      <c r="B25" s="31"/>
      <c r="C25" s="61">
        <f t="shared" si="1"/>
      </c>
      <c r="D25" s="16"/>
      <c r="E25" s="29">
        <f t="shared" si="2"/>
      </c>
      <c r="F25" s="30">
        <f t="shared" si="0"/>
      </c>
      <c r="G25" s="62">
        <f t="shared" si="4"/>
      </c>
      <c r="H25" s="62">
        <f t="shared" si="3"/>
      </c>
      <c r="I25" s="55"/>
      <c r="J25" s="55"/>
      <c r="K25" s="66"/>
      <c r="L25" s="4" t="str">
        <f>IF($F$5="M","Bonded Concrete Pavement (140mm)","Bonded Concrete Pavement (5 inches)")</f>
        <v>Bonded Concrete Pavement (5 inches)</v>
      </c>
      <c r="M25" s="5">
        <f>IF($F$5="M",0.5,0.42)</f>
        <v>0.42</v>
      </c>
      <c r="O25" s="50"/>
      <c r="P25" s="67"/>
    </row>
    <row r="26" spans="1:16" ht="22.5" customHeight="1">
      <c r="A26" s="26"/>
      <c r="B26" s="31"/>
      <c r="C26" s="61">
        <f t="shared" si="1"/>
      </c>
      <c r="D26" s="16"/>
      <c r="E26" s="29">
        <f t="shared" si="2"/>
      </c>
      <c r="F26" s="30">
        <f t="shared" si="0"/>
      </c>
      <c r="G26" s="62">
        <f t="shared" si="4"/>
      </c>
      <c r="H26" s="62">
        <f t="shared" si="3"/>
      </c>
      <c r="I26" s="55"/>
      <c r="J26" s="55"/>
      <c r="K26" s="4"/>
      <c r="L26" s="4" t="str">
        <f>IF($F$5="M","","Bonded Concrete Pavement (5.5 inches)")</f>
        <v>Bonded Concrete Pavement (5.5 inches)</v>
      </c>
      <c r="M26" s="5">
        <f>IF($F$5="M",0.53,0.45)</f>
        <v>0.45</v>
      </c>
      <c r="O26" s="50"/>
      <c r="P26" s="5"/>
    </row>
    <row r="27" spans="1:16" ht="22.5" customHeight="1">
      <c r="A27" s="26"/>
      <c r="B27" s="31"/>
      <c r="C27" s="61">
        <f t="shared" si="1"/>
      </c>
      <c r="D27" s="16"/>
      <c r="E27" s="29">
        <f t="shared" si="2"/>
      </c>
      <c r="F27" s="30">
        <f t="shared" si="0"/>
      </c>
      <c r="G27" s="62">
        <f t="shared" si="4"/>
      </c>
      <c r="H27" s="62">
        <f t="shared" si="3"/>
      </c>
      <c r="I27" s="55"/>
      <c r="J27" s="55"/>
      <c r="K27" s="66"/>
      <c r="L27" s="4" t="str">
        <f>IF($F$5="M","Bonded Concrete Pavement (160mm)","Bonded Concrete Pavement (6 inches)")</f>
        <v>Bonded Concrete Pavement (6 inches)</v>
      </c>
      <c r="M27" s="5">
        <f>IF($F$5="M",0.57,0.48)</f>
        <v>0.48</v>
      </c>
      <c r="O27" s="50"/>
      <c r="P27" s="67"/>
    </row>
    <row r="28" spans="1:16" ht="22.5" customHeight="1">
      <c r="A28" s="26"/>
      <c r="B28" s="31"/>
      <c r="C28" s="61">
        <f t="shared" si="1"/>
      </c>
      <c r="D28" s="16"/>
      <c r="E28" s="29">
        <f t="shared" si="2"/>
      </c>
      <c r="F28" s="30">
        <f t="shared" si="0"/>
      </c>
      <c r="G28" s="62">
        <f t="shared" si="4"/>
      </c>
      <c r="H28" s="62">
        <f t="shared" si="3"/>
      </c>
      <c r="I28" s="55"/>
      <c r="J28" s="55"/>
      <c r="K28" s="4"/>
      <c r="L28" s="4" t="str">
        <f>IF($F$5="M","Concrete Pavement 160 mm","Concrete Pavement 6 inches")</f>
        <v>Concrete Pavement 6 inches</v>
      </c>
      <c r="M28" s="5">
        <f>IF($F$5="M",0.58,0.48)</f>
        <v>0.48</v>
      </c>
      <c r="O28" s="50"/>
      <c r="P28" s="5"/>
    </row>
    <row r="29" spans="1:16" ht="22.5" customHeight="1">
      <c r="A29" s="26"/>
      <c r="B29" s="31"/>
      <c r="C29" s="61">
        <f t="shared" si="1"/>
      </c>
      <c r="D29" s="16"/>
      <c r="E29" s="29">
        <f t="shared" si="2"/>
      </c>
      <c r="F29" s="30">
        <f t="shared" si="0"/>
      </c>
      <c r="G29" s="62">
        <f t="shared" si="4"/>
      </c>
      <c r="H29" s="62">
        <f t="shared" si="3"/>
      </c>
      <c r="I29" s="55"/>
      <c r="J29" s="55"/>
      <c r="K29" s="4"/>
      <c r="L29" s="4" t="str">
        <f>IF($F$5="M","","Concrete Pavement 6.5 inches")</f>
        <v>Concrete Pavement 6.5 inches</v>
      </c>
      <c r="M29" s="5">
        <f>IF($F$5="M",0.61,0.51)</f>
        <v>0.51</v>
      </c>
      <c r="O29" s="50"/>
      <c r="P29" s="5"/>
    </row>
    <row r="30" spans="1:16" ht="22.5" customHeight="1">
      <c r="A30" s="26"/>
      <c r="B30" s="31"/>
      <c r="C30" s="61">
        <f t="shared" si="1"/>
      </c>
      <c r="D30" s="16"/>
      <c r="E30" s="29">
        <f t="shared" si="2"/>
      </c>
      <c r="F30" s="30">
        <f t="shared" si="0"/>
      </c>
      <c r="G30" s="62">
        <f t="shared" si="4"/>
      </c>
      <c r="H30" s="62">
        <f t="shared" si="3"/>
      </c>
      <c r="I30" s="55"/>
      <c r="J30" s="55"/>
      <c r="K30" s="4"/>
      <c r="L30" s="4" t="str">
        <f>IF($F$5="M","Concrete Pavement 180 mm","Concrete Pavement 7 inches")</f>
        <v>Concrete Pavement 7 inches</v>
      </c>
      <c r="M30" s="5">
        <f>IF($F$5="M",0.65,0.54)</f>
        <v>0.54</v>
      </c>
      <c r="O30" s="50"/>
      <c r="P30" s="5"/>
    </row>
    <row r="31" spans="1:16" ht="22.5" customHeight="1">
      <c r="A31" s="26"/>
      <c r="B31" s="31"/>
      <c r="C31" s="61">
        <f t="shared" si="1"/>
      </c>
      <c r="D31" s="16"/>
      <c r="E31" s="29">
        <f t="shared" si="2"/>
      </c>
      <c r="F31" s="30">
        <f t="shared" si="0"/>
      </c>
      <c r="G31" s="62">
        <f t="shared" si="4"/>
      </c>
      <c r="H31" s="62">
        <f t="shared" si="3"/>
      </c>
      <c r="I31" s="55"/>
      <c r="J31" s="55"/>
      <c r="K31" s="4"/>
      <c r="L31" s="4" t="str">
        <f>IF($F$5="M","Concrete Pavement 190 mm","Concrete Pavement 7.5 inches")</f>
        <v>Concrete Pavement 7.5 inches</v>
      </c>
      <c r="M31" s="5">
        <f>IF($F$5="M",0.69,0.57)</f>
        <v>0.57</v>
      </c>
      <c r="O31" s="50"/>
      <c r="P31" s="5"/>
    </row>
    <row r="32" spans="1:16" ht="22.5" customHeight="1">
      <c r="A32" s="26"/>
      <c r="B32" s="31"/>
      <c r="C32" s="61">
        <f t="shared" si="1"/>
      </c>
      <c r="D32" s="16"/>
      <c r="E32" s="29">
        <f t="shared" si="2"/>
      </c>
      <c r="F32" s="30">
        <f t="shared" si="0"/>
      </c>
      <c r="G32" s="62">
        <f t="shared" si="4"/>
      </c>
      <c r="H32" s="62">
        <f t="shared" si="3"/>
      </c>
      <c r="I32" s="55"/>
      <c r="J32" s="55"/>
      <c r="K32" s="4"/>
      <c r="L32" s="4" t="str">
        <f>IF($F$5="M","Concrete Pavement 200 mm","Concrete Pavement 8 inches")</f>
        <v>Concrete Pavement 8 inches</v>
      </c>
      <c r="M32" s="5">
        <f>IF($F$5="M",0.72,0.6)</f>
        <v>0.6</v>
      </c>
      <c r="O32" s="50"/>
      <c r="P32" s="5"/>
    </row>
    <row r="33" spans="1:16" ht="22.5" customHeight="1">
      <c r="A33" s="26"/>
      <c r="B33" s="31"/>
      <c r="C33" s="61">
        <f t="shared" si="1"/>
      </c>
      <c r="D33" s="16"/>
      <c r="E33" s="29">
        <f t="shared" si="2"/>
      </c>
      <c r="F33" s="30">
        <f t="shared" si="0"/>
      </c>
      <c r="G33" s="62">
        <f t="shared" si="4"/>
      </c>
      <c r="H33" s="62">
        <f t="shared" si="3"/>
      </c>
      <c r="I33" s="55"/>
      <c r="J33" s="55"/>
      <c r="K33" s="6"/>
      <c r="L33" s="4" t="str">
        <f>IF($F$5="M","Concrete Pavement 220 mm","Concrete Pavement 8 1/2 inches")</f>
        <v>Concrete Pavement 8 1/2 inches</v>
      </c>
      <c r="M33" s="5">
        <f>IF($F$5="M",0.76,0.63)</f>
        <v>0.63</v>
      </c>
      <c r="N33" s="6"/>
      <c r="O33" s="50"/>
      <c r="P33" s="50"/>
    </row>
    <row r="34" spans="1:16" ht="22.5" customHeight="1">
      <c r="A34" s="26"/>
      <c r="B34" s="31"/>
      <c r="C34" s="61">
        <f t="shared" si="1"/>
      </c>
      <c r="D34" s="16"/>
      <c r="E34" s="29">
        <f t="shared" si="2"/>
      </c>
      <c r="F34" s="30">
        <f t="shared" si="0"/>
      </c>
      <c r="G34" s="62">
        <f t="shared" si="4"/>
      </c>
      <c r="H34" s="62">
        <f t="shared" si="3"/>
      </c>
      <c r="I34" s="55"/>
      <c r="J34" s="55"/>
      <c r="K34" s="7"/>
      <c r="L34" s="4" t="str">
        <f>IF($F$5="M","Concrete Pavement 230 mm","Concrete Pavement 9 inches")</f>
        <v>Concrete Pavement 9 inches</v>
      </c>
      <c r="M34" s="5">
        <f>IF($F$5="M",0.79,0.66)</f>
        <v>0.66</v>
      </c>
      <c r="N34" s="6"/>
      <c r="O34" s="50"/>
      <c r="P34" s="50"/>
    </row>
    <row r="35" spans="1:16" ht="22.5" customHeight="1">
      <c r="A35" s="26"/>
      <c r="B35" s="31"/>
      <c r="C35" s="61">
        <f t="shared" si="1"/>
      </c>
      <c r="D35" s="16"/>
      <c r="E35" s="29">
        <f t="shared" si="2"/>
      </c>
      <c r="F35" s="30">
        <f t="shared" si="0"/>
      </c>
      <c r="G35" s="62">
        <f t="shared" si="4"/>
      </c>
      <c r="H35" s="62">
        <f t="shared" si="3"/>
      </c>
      <c r="I35" s="55"/>
      <c r="J35" s="55"/>
      <c r="K35" s="7"/>
      <c r="L35" s="4" t="str">
        <f>IF($F$5="M","Concrete Pavement 240 mm","Concrete Pavement 9 1/2 inches")</f>
        <v>Concrete Pavement 9 1/2 inches</v>
      </c>
      <c r="M35" s="5">
        <f>IF($F$5="M",0.82,0.69)</f>
        <v>0.69</v>
      </c>
      <c r="N35" s="6"/>
      <c r="O35" s="50"/>
      <c r="P35" s="50"/>
    </row>
    <row r="36" spans="1:16" ht="22.5" customHeight="1">
      <c r="A36" s="26"/>
      <c r="B36" s="31"/>
      <c r="C36" s="61">
        <f t="shared" si="1"/>
      </c>
      <c r="D36" s="16"/>
      <c r="E36" s="29">
        <f t="shared" si="2"/>
      </c>
      <c r="F36" s="30">
        <f t="shared" si="0"/>
      </c>
      <c r="G36" s="62">
        <f t="shared" si="4"/>
      </c>
      <c r="H36" s="62">
        <f t="shared" si="3"/>
      </c>
      <c r="I36" s="55"/>
      <c r="J36" s="55"/>
      <c r="K36" s="7"/>
      <c r="L36" s="4" t="str">
        <f>IF($F$5="M","Concrete Pavement 250 mm","Concrete Pavement 10 inches")</f>
        <v>Concrete Pavement 10 inches</v>
      </c>
      <c r="M36" s="5">
        <f>IF($F$5="M",0.86,0.72)</f>
        <v>0.72</v>
      </c>
      <c r="N36" s="6"/>
      <c r="O36" s="50"/>
      <c r="P36" s="50"/>
    </row>
    <row r="37" spans="1:16" ht="22.5" customHeight="1">
      <c r="A37" s="26"/>
      <c r="B37" s="31"/>
      <c r="C37" s="61">
        <f t="shared" si="1"/>
      </c>
      <c r="D37" s="16"/>
      <c r="E37" s="29">
        <f t="shared" si="2"/>
      </c>
      <c r="F37" s="30">
        <f t="shared" si="0"/>
      </c>
      <c r="G37" s="62">
        <f t="shared" si="4"/>
      </c>
      <c r="H37" s="62">
        <f t="shared" si="3"/>
      </c>
      <c r="I37" s="55"/>
      <c r="J37" s="55"/>
      <c r="K37" s="7"/>
      <c r="L37" s="4">
        <f>IF(F5="M","Concrete Pavement 260 mm","")</f>
      </c>
      <c r="M37" s="5">
        <v>0.86</v>
      </c>
      <c r="N37" s="6"/>
      <c r="O37" s="50"/>
      <c r="P37" s="50"/>
    </row>
    <row r="38" spans="1:16" ht="22.5" customHeight="1">
      <c r="A38" s="26"/>
      <c r="B38" s="31"/>
      <c r="C38" s="61">
        <f t="shared" si="1"/>
      </c>
      <c r="D38" s="16"/>
      <c r="E38" s="29">
        <f t="shared" si="2"/>
      </c>
      <c r="F38" s="30">
        <f t="shared" si="0"/>
      </c>
      <c r="G38" s="62">
        <f t="shared" si="4"/>
      </c>
      <c r="H38" s="62">
        <f t="shared" si="3"/>
      </c>
      <c r="I38" s="55"/>
      <c r="J38" s="55"/>
      <c r="K38" s="7"/>
      <c r="L38" s="4" t="str">
        <f>IF($F$5="M","Concrete Pavement 270 mm","Concrete Pavement 10 1/2 inches")</f>
        <v>Concrete Pavement 10 1/2 inches</v>
      </c>
      <c r="M38" s="5">
        <f>IF($F$5="M",0.89,0.75)</f>
        <v>0.75</v>
      </c>
      <c r="N38" s="6"/>
      <c r="O38" s="50"/>
      <c r="P38" s="50"/>
    </row>
    <row r="39" spans="1:16" ht="22.5" customHeight="1">
      <c r="A39" s="39"/>
      <c r="B39" s="40"/>
      <c r="C39" s="32"/>
      <c r="D39" s="32"/>
      <c r="E39" s="33"/>
      <c r="F39" s="34"/>
      <c r="G39" s="35"/>
      <c r="H39" s="36" t="s">
        <v>66</v>
      </c>
      <c r="I39" s="47"/>
      <c r="J39" s="55"/>
      <c r="K39" s="7"/>
      <c r="L39" s="4" t="str">
        <f>IF($F$5="M","Concrete Pavement 280 mm","Concrete Pavement 11 inches")</f>
        <v>Concrete Pavement 11 inches</v>
      </c>
      <c r="M39" s="5">
        <f>IF($F$5="M",0.93,0.78)</f>
        <v>0.78</v>
      </c>
      <c r="N39" s="6"/>
      <c r="O39" s="50"/>
      <c r="P39" s="50"/>
    </row>
    <row r="40" spans="9:14" ht="12.75">
      <c r="I40" s="41"/>
      <c r="J40" s="41"/>
      <c r="K40" s="7"/>
      <c r="L40" s="4" t="str">
        <f>IF($F$5="M","Concrete Pavement 290 mm","Concrete Pavement 11 1/2 inches")</f>
        <v>Concrete Pavement 11 1/2 inches</v>
      </c>
      <c r="M40" s="5">
        <f>IF($F$5="M",0.96,0.81)</f>
        <v>0.81</v>
      </c>
      <c r="N40" s="6"/>
    </row>
    <row r="41" spans="1:14" ht="12.75">
      <c r="A41" s="42"/>
      <c r="B41" s="43"/>
      <c r="C41" s="44"/>
      <c r="D41" s="44"/>
      <c r="E41" s="45"/>
      <c r="F41" s="46"/>
      <c r="G41" s="47"/>
      <c r="H41" s="47"/>
      <c r="I41" s="47"/>
      <c r="J41" s="47"/>
      <c r="K41" s="7"/>
      <c r="L41" s="4" t="str">
        <f>IF($F$5="M","Concrete Pavement 300 mm","Concrete Pavement 12 inches")</f>
        <v>Concrete Pavement 12 inches</v>
      </c>
      <c r="M41" s="5">
        <f>IF($F$5="M",0.99,0.83)</f>
        <v>0.83</v>
      </c>
      <c r="N41" s="6"/>
    </row>
    <row r="42" spans="1:14" ht="12.75">
      <c r="A42" s="42"/>
      <c r="B42" s="43"/>
      <c r="C42" s="44"/>
      <c r="D42" s="44"/>
      <c r="E42" s="45"/>
      <c r="F42" s="46"/>
      <c r="G42" s="47"/>
      <c r="H42" s="47"/>
      <c r="I42" s="47"/>
      <c r="J42" s="47"/>
      <c r="K42" s="7"/>
      <c r="L42" s="4" t="str">
        <f>IF($F$5="M","Concrete Pavement 320 mm","Concrete Pavement 12 1/2 inches")</f>
        <v>Concrete Pavement 12 1/2 inches</v>
      </c>
      <c r="M42" s="5">
        <f>IF($F$5="M",1.02,0.86)</f>
        <v>0.86</v>
      </c>
      <c r="N42" s="6"/>
    </row>
    <row r="43" spans="1:14" ht="12.75">
      <c r="A43" s="42"/>
      <c r="B43" s="43"/>
      <c r="C43" s="44"/>
      <c r="D43" s="44"/>
      <c r="E43" s="45"/>
      <c r="F43" s="46"/>
      <c r="G43" s="47"/>
      <c r="H43" s="47"/>
      <c r="I43" s="47"/>
      <c r="J43" s="47"/>
      <c r="K43" s="7"/>
      <c r="L43" s="4" t="str">
        <f>IF($F$5="M","Concrete Pavement 330 mm","Concrete Pavement 13 inches")</f>
        <v>Concrete Pavement 13 inches</v>
      </c>
      <c r="M43" s="5">
        <f>IF($F$5="M",1.06,0.89)</f>
        <v>0.89</v>
      </c>
      <c r="N43" s="6"/>
    </row>
    <row r="44" spans="1:14" ht="12.75">
      <c r="A44" s="42"/>
      <c r="B44" s="43"/>
      <c r="C44" s="44"/>
      <c r="D44" s="44"/>
      <c r="E44" s="45"/>
      <c r="F44" s="46"/>
      <c r="G44" s="47"/>
      <c r="H44" s="47"/>
      <c r="I44" s="47"/>
      <c r="J44" s="47"/>
      <c r="K44" s="7"/>
      <c r="L44" s="4" t="str">
        <f>IF($F$5="M","Concrete Pavement 340 mm","Concrete Pavement 13 1/2 inches")</f>
        <v>Concrete Pavement 13 1/2 inches</v>
      </c>
      <c r="M44" s="5">
        <f>IF($F$5="M",1.1,0.92)</f>
        <v>0.92</v>
      </c>
      <c r="N44" s="6"/>
    </row>
    <row r="45" spans="1:14" ht="12.75">
      <c r="A45" s="42"/>
      <c r="B45" s="43"/>
      <c r="C45" s="44"/>
      <c r="D45" s="44"/>
      <c r="E45" s="45"/>
      <c r="F45" s="46"/>
      <c r="G45" s="47"/>
      <c r="H45" s="47"/>
      <c r="I45" s="47"/>
      <c r="J45" s="47"/>
      <c r="K45" s="7"/>
      <c r="L45" s="4" t="str">
        <f>IF($F$5="M","Concrete Pavement 360 mm","Concrete Pavement 14 inches")</f>
        <v>Concrete Pavement 14 inches</v>
      </c>
      <c r="M45" s="5">
        <f>IF($F$5="M",1.14,0.95)</f>
        <v>0.95</v>
      </c>
      <c r="N45" s="6"/>
    </row>
    <row r="46" spans="1:14" ht="12.75">
      <c r="A46" s="48"/>
      <c r="B46" s="48"/>
      <c r="C46" s="48"/>
      <c r="D46" s="48"/>
      <c r="E46" s="49"/>
      <c r="F46" s="48"/>
      <c r="G46" s="48"/>
      <c r="H46" s="48"/>
      <c r="I46" s="48"/>
      <c r="J46" s="48"/>
      <c r="K46" s="7"/>
      <c r="L46" s="4" t="str">
        <f>IF($F$5="M","Concrete Pavement 370 mm","Concrete Pavement 14 1/2 inches")</f>
        <v>Concrete Pavement 14 1/2 inches</v>
      </c>
      <c r="M46" s="5">
        <f>IF($F$5="M",1.17,0.98)</f>
        <v>0.98</v>
      </c>
      <c r="N46" s="6"/>
    </row>
    <row r="47" spans="1:14" ht="12.75">
      <c r="A47" s="50"/>
      <c r="B47" s="50"/>
      <c r="C47" s="50"/>
      <c r="D47" s="50"/>
      <c r="E47" s="51"/>
      <c r="F47" s="50"/>
      <c r="G47" s="50"/>
      <c r="H47" s="50"/>
      <c r="I47" s="50"/>
      <c r="J47" s="50"/>
      <c r="K47" s="7"/>
      <c r="L47" s="4" t="s">
        <v>60</v>
      </c>
      <c r="M47" s="5">
        <f>IF($F$5="M",334.65,10.2)</f>
        <v>10.2</v>
      </c>
      <c r="N47" s="6"/>
    </row>
    <row r="48" spans="1:14" ht="12.75">
      <c r="A48" s="50"/>
      <c r="B48" s="50"/>
      <c r="C48" s="50"/>
      <c r="D48" s="50"/>
      <c r="E48" s="51"/>
      <c r="F48" s="50"/>
      <c r="G48" s="50"/>
      <c r="H48" s="50"/>
      <c r="I48" s="50"/>
      <c r="J48" s="50"/>
      <c r="K48" s="7"/>
      <c r="L48" s="4" t="s">
        <v>59</v>
      </c>
      <c r="M48" s="5">
        <f>IF($F$5="M",2.65,2.4)</f>
        <v>2.4</v>
      </c>
      <c r="N48" s="6"/>
    </row>
    <row r="49" spans="1:14" ht="12.75">
      <c r="A49" s="50"/>
      <c r="B49" s="50"/>
      <c r="C49" s="50"/>
      <c r="D49" s="50"/>
      <c r="E49" s="51"/>
      <c r="F49" s="50"/>
      <c r="G49" s="50"/>
      <c r="H49" s="50"/>
      <c r="I49" s="50"/>
      <c r="J49" s="50"/>
      <c r="K49" s="7"/>
      <c r="L49" s="4" t="s">
        <v>64</v>
      </c>
      <c r="M49" s="5">
        <f>IF($F$5="M",2.65,2.4)</f>
        <v>2.4</v>
      </c>
      <c r="N49" s="6"/>
    </row>
    <row r="50" spans="1:14" ht="12.75">
      <c r="A50" s="50"/>
      <c r="B50" s="50"/>
      <c r="C50" s="50"/>
      <c r="D50" s="50"/>
      <c r="E50" s="51"/>
      <c r="F50" s="50"/>
      <c r="G50" s="50"/>
      <c r="H50" s="50"/>
      <c r="I50" s="50"/>
      <c r="J50" s="50"/>
      <c r="K50" s="7"/>
      <c r="L50" s="4" t="s">
        <v>65</v>
      </c>
      <c r="M50" s="5">
        <f>IF($F$5="M",2.65,2.4)</f>
        <v>2.4</v>
      </c>
      <c r="N50" s="6"/>
    </row>
    <row r="51" spans="11:13" ht="12.75">
      <c r="K51" s="7"/>
      <c r="L51" s="4"/>
      <c r="M51" s="5"/>
    </row>
    <row r="52" spans="11:13" ht="12.75">
      <c r="K52" s="7"/>
      <c r="L52" s="6"/>
      <c r="M52" s="6"/>
    </row>
    <row r="53" spans="11:13" ht="12.75">
      <c r="K53" s="7"/>
      <c r="L53" s="37"/>
      <c r="M53" s="37"/>
    </row>
    <row r="54" spans="11:13" ht="12.75">
      <c r="K54" s="7"/>
      <c r="L54" s="37"/>
      <c r="M54" s="37"/>
    </row>
    <row r="55" spans="12:13" ht="12.75">
      <c r="L55" s="37"/>
      <c r="M55" s="37"/>
    </row>
    <row r="56" spans="12:13" ht="12.75">
      <c r="L56" s="37"/>
      <c r="M56" s="37"/>
    </row>
    <row r="57" spans="12:13" ht="12.75">
      <c r="L57" s="37"/>
      <c r="M57" s="37"/>
    </row>
    <row r="58" spans="12:13" ht="12.75">
      <c r="L58" s="37"/>
      <c r="M58" s="37"/>
    </row>
    <row r="59" spans="12:13" ht="12.75">
      <c r="L59" s="37"/>
      <c r="M59" s="37"/>
    </row>
    <row r="60" spans="12:13" ht="12.75">
      <c r="L60" s="37"/>
      <c r="M60" s="37"/>
    </row>
    <row r="61" spans="12:13" ht="12.75">
      <c r="L61" s="37"/>
      <c r="M61" s="37"/>
    </row>
    <row r="62" spans="12:13" ht="12.75">
      <c r="L62" s="37"/>
      <c r="M62" s="37"/>
    </row>
    <row r="63" spans="12:13" ht="12.75">
      <c r="L63" s="37"/>
      <c r="M63" s="37"/>
    </row>
    <row r="64" spans="12:13" ht="12.75">
      <c r="L64" s="37"/>
      <c r="M64" s="37"/>
    </row>
    <row r="65" spans="12:13" ht="12.75">
      <c r="L65" s="37"/>
      <c r="M65" s="37"/>
    </row>
    <row r="66" spans="12:13" ht="12.75">
      <c r="L66" s="37"/>
      <c r="M66" s="37"/>
    </row>
    <row r="67" spans="12:13" ht="12.75">
      <c r="L67" s="37"/>
      <c r="M67" s="37"/>
    </row>
    <row r="68" spans="12:13" ht="12.75">
      <c r="L68" s="37"/>
      <c r="M68" s="37"/>
    </row>
    <row r="69" spans="12:13" ht="12.75">
      <c r="L69" s="37"/>
      <c r="M69" s="37"/>
    </row>
    <row r="70" ht="12.75">
      <c r="L70" s="37"/>
    </row>
    <row r="71" ht="12.75">
      <c r="L71" s="37"/>
    </row>
    <row r="72" ht="12.75">
      <c r="L72" s="37"/>
    </row>
  </sheetData>
  <sheetProtection password="BF11" sheet="1" objects="1" scenarios="1" selectLockedCells="1"/>
  <mergeCells count="4">
    <mergeCell ref="F3:H3"/>
    <mergeCell ref="F4:H4"/>
    <mergeCell ref="D5:E5"/>
    <mergeCell ref="B6:E6"/>
  </mergeCells>
  <dataValidations count="1">
    <dataValidation type="list" allowBlank="1" showInputMessage="1" showErrorMessage="1" promptTitle="Data Entry Restriction!" prompt="Please select one item from this drop down box. No other values will be accepted." errorTitle="Wrong data!" error="Please enter a value from the drop down list." sqref="B6:E6">
      <formula1>$L$7:$L$50</formula1>
    </dataValidation>
  </dataValidations>
  <printOptions/>
  <pageMargins left="1.06" right="0.5" top="0.5" bottom="0" header="0.5" footer="0"/>
  <pageSetup blackAndWhite="1" fitToHeight="1" fitToWidth="1" horizontalDpi="600" verticalDpi="600" orientation="portrait" scale="9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"/>
  <sheetViews>
    <sheetView showGridLines="0" showRowColHeaders="0" zoomScalePageLayoutView="0" workbookViewId="0" topLeftCell="A1">
      <selection activeCell="B6" sqref="B6:E6"/>
    </sheetView>
  </sheetViews>
  <sheetFormatPr defaultColWidth="9.140625" defaultRowHeight="12.75"/>
  <cols>
    <col min="1" max="1" width="13.00390625" style="0" customWidth="1"/>
    <col min="2" max="2" width="13.28125" style="0" customWidth="1"/>
    <col min="3" max="3" width="9.00390625" style="0" customWidth="1"/>
    <col min="4" max="4" width="9.28125" style="0" customWidth="1"/>
    <col min="5" max="5" width="11.00390625" style="1" customWidth="1"/>
    <col min="6" max="6" width="10.57421875" style="0" customWidth="1"/>
    <col min="7" max="8" width="16.00390625" style="0" bestFit="1" customWidth="1"/>
    <col min="11" max="11" width="3.57421875" style="0" customWidth="1"/>
    <col min="12" max="12" width="47.00390625" style="0" hidden="1" customWidth="1"/>
    <col min="13" max="13" width="8.28125" style="0" hidden="1" customWidth="1"/>
    <col min="14" max="14" width="7.140625" style="0" customWidth="1"/>
    <col min="15" max="16" width="9.140625" style="0" customWidth="1"/>
  </cols>
  <sheetData>
    <row r="1" spans="1:16" ht="15">
      <c r="A1" s="8"/>
      <c r="B1" s="8"/>
      <c r="C1" s="9" t="s">
        <v>67</v>
      </c>
      <c r="D1" s="8"/>
      <c r="E1" s="10"/>
      <c r="F1" s="8"/>
      <c r="G1" s="8"/>
      <c r="H1" s="8"/>
      <c r="I1" s="52"/>
      <c r="J1" s="52"/>
      <c r="K1" s="50"/>
      <c r="L1" s="50"/>
      <c r="M1" s="50"/>
      <c r="N1" s="50"/>
      <c r="O1" s="50"/>
      <c r="P1" s="50"/>
    </row>
    <row r="2" spans="1:16" ht="17.25" customHeight="1">
      <c r="A2" s="8"/>
      <c r="B2" s="8"/>
      <c r="C2" s="8"/>
      <c r="D2" s="8"/>
      <c r="E2" s="10"/>
      <c r="F2" s="8"/>
      <c r="G2" s="8"/>
      <c r="H2" s="8"/>
      <c r="I2" s="52"/>
      <c r="J2" s="52"/>
      <c r="K2" s="50"/>
      <c r="L2" s="50"/>
      <c r="M2" s="50"/>
      <c r="N2" s="50"/>
      <c r="O2" s="50"/>
      <c r="P2" s="50"/>
    </row>
    <row r="3" spans="1:16" ht="21" customHeight="1">
      <c r="A3" s="11"/>
      <c r="B3" s="12"/>
      <c r="C3" s="11"/>
      <c r="D3" s="11"/>
      <c r="E3" s="63" t="s">
        <v>42</v>
      </c>
      <c r="F3" s="97">
        <f>IF('Item 1'!F3:H3="","",'Item 1'!F3:H3)</f>
      </c>
      <c r="G3" s="97"/>
      <c r="H3" s="97"/>
      <c r="I3" s="53"/>
      <c r="J3" s="53"/>
      <c r="K3" s="50"/>
      <c r="L3" s="50"/>
      <c r="M3" s="50"/>
      <c r="N3" s="50"/>
      <c r="O3" s="50"/>
      <c r="P3" s="50"/>
    </row>
    <row r="4" spans="1:16" ht="21" customHeight="1">
      <c r="A4" s="13" t="s">
        <v>43</v>
      </c>
      <c r="B4" s="82">
        <f>IF('Item 1'!B4="","",'Item 1'!B4)</f>
      </c>
      <c r="C4" s="38"/>
      <c r="D4" s="11"/>
      <c r="E4" s="64" t="s">
        <v>41</v>
      </c>
      <c r="F4" s="98">
        <f>IF('Item 1'!F4:H4="","",'Item 1'!F4:H4)</f>
      </c>
      <c r="G4" s="99"/>
      <c r="H4" s="100"/>
      <c r="I4" s="53"/>
      <c r="J4" s="53"/>
      <c r="K4" s="50"/>
      <c r="L4" s="57"/>
      <c r="M4" s="50"/>
      <c r="N4" s="50"/>
      <c r="O4" s="50"/>
      <c r="P4" s="50"/>
    </row>
    <row r="5" spans="1:16" ht="21" customHeight="1">
      <c r="A5" s="79" t="s">
        <v>44</v>
      </c>
      <c r="B5" s="15"/>
      <c r="C5" s="81">
        <f>IF('Item 1'!C5="","",'Item 1'!C5)</f>
      </c>
      <c r="D5" s="95" t="s">
        <v>46</v>
      </c>
      <c r="E5" s="96"/>
      <c r="F5" s="80">
        <f>IF('Item 1'!F5="","",'Item 1'!F5)</f>
      </c>
      <c r="G5" s="65" t="s">
        <v>45</v>
      </c>
      <c r="H5" s="60">
        <f>IF(B6="","",VLOOKUP(B6,L7:M50,2,FALSE))</f>
      </c>
      <c r="I5" s="53"/>
      <c r="J5" s="53"/>
      <c r="K5" s="4"/>
      <c r="L5" s="56"/>
      <c r="N5" s="4"/>
      <c r="O5" s="50"/>
      <c r="P5" s="50"/>
    </row>
    <row r="6" spans="1:16" ht="21" customHeight="1">
      <c r="A6" s="79" t="s">
        <v>20</v>
      </c>
      <c r="B6" s="88"/>
      <c r="C6" s="89"/>
      <c r="D6" s="89"/>
      <c r="E6" s="90"/>
      <c r="F6" s="58"/>
      <c r="H6" s="59"/>
      <c r="I6" s="53"/>
      <c r="J6" s="53"/>
      <c r="K6" s="4"/>
      <c r="L6" s="4" t="s">
        <v>21</v>
      </c>
      <c r="M6" s="4" t="s">
        <v>37</v>
      </c>
      <c r="O6" s="50"/>
      <c r="P6" s="4"/>
    </row>
    <row r="7" spans="1:16" ht="12.75">
      <c r="A7" s="11"/>
      <c r="B7" s="11"/>
      <c r="C7" s="17"/>
      <c r="D7" s="11"/>
      <c r="E7" s="7"/>
      <c r="F7" s="11"/>
      <c r="G7" s="11"/>
      <c r="H7" s="11"/>
      <c r="I7" s="53"/>
      <c r="J7" s="53"/>
      <c r="K7" s="4"/>
      <c r="L7" s="4" t="s">
        <v>22</v>
      </c>
      <c r="M7" s="5">
        <f>IF($F$5="M",0.33,0.25)</f>
        <v>0.25</v>
      </c>
      <c r="O7" s="50"/>
      <c r="P7" s="5"/>
    </row>
    <row r="8" spans="1:16" ht="12.75">
      <c r="A8" s="18" t="s">
        <v>0</v>
      </c>
      <c r="B8" s="18" t="s">
        <v>18</v>
      </c>
      <c r="C8" s="19" t="s">
        <v>2</v>
      </c>
      <c r="D8" s="18" t="s">
        <v>5</v>
      </c>
      <c r="E8" s="20" t="s">
        <v>8</v>
      </c>
      <c r="F8" s="18" t="s">
        <v>10</v>
      </c>
      <c r="G8" s="18" t="s">
        <v>13</v>
      </c>
      <c r="H8" s="18" t="s">
        <v>8</v>
      </c>
      <c r="I8" s="54"/>
      <c r="J8" s="54"/>
      <c r="K8" s="4"/>
      <c r="L8" s="4" t="s">
        <v>61</v>
      </c>
      <c r="M8" s="5">
        <f>IF($F$5="M",0.33,0.25)</f>
        <v>0.25</v>
      </c>
      <c r="O8" s="50"/>
      <c r="P8" s="5"/>
    </row>
    <row r="9" spans="1:16" ht="12.75">
      <c r="A9" s="21"/>
      <c r="B9" s="22" t="s">
        <v>16</v>
      </c>
      <c r="C9" s="22" t="s">
        <v>3</v>
      </c>
      <c r="D9" s="22" t="s">
        <v>6</v>
      </c>
      <c r="E9" s="23"/>
      <c r="F9" s="22" t="s">
        <v>11</v>
      </c>
      <c r="G9" s="22" t="s">
        <v>14</v>
      </c>
      <c r="H9" s="22" t="s">
        <v>9</v>
      </c>
      <c r="I9" s="54"/>
      <c r="J9" s="54"/>
      <c r="K9" s="4"/>
      <c r="L9" s="4" t="s">
        <v>19</v>
      </c>
      <c r="M9" s="5">
        <f>IF($F$5="M",0.43,0.33)</f>
        <v>0.33</v>
      </c>
      <c r="O9" s="50"/>
      <c r="P9" s="5"/>
    </row>
    <row r="10" spans="1:16" ht="12.75">
      <c r="A10" s="24" t="s">
        <v>1</v>
      </c>
      <c r="B10" s="24" t="s">
        <v>17</v>
      </c>
      <c r="C10" s="24" t="s">
        <v>4</v>
      </c>
      <c r="D10" s="24" t="s">
        <v>7</v>
      </c>
      <c r="E10" s="25" t="s">
        <v>9</v>
      </c>
      <c r="F10" s="24" t="s">
        <v>12</v>
      </c>
      <c r="G10" s="24" t="s">
        <v>15</v>
      </c>
      <c r="H10" s="24" t="s">
        <v>15</v>
      </c>
      <c r="I10" s="54"/>
      <c r="J10" s="54"/>
      <c r="K10" s="4"/>
      <c r="L10" s="4" t="s">
        <v>62</v>
      </c>
      <c r="M10" s="5">
        <f>IF($F$5="M",0.43,0.33)</f>
        <v>0.33</v>
      </c>
      <c r="O10" s="50"/>
      <c r="P10" s="5"/>
    </row>
    <row r="11" spans="1:16" ht="22.5" customHeight="1">
      <c r="A11" s="26"/>
      <c r="B11" s="27"/>
      <c r="C11" s="61">
        <f>IF(H5="","",ABS($H$5))</f>
      </c>
      <c r="D11" s="28"/>
      <c r="E11" s="29">
        <f>IF(D11="","",+D11)</f>
      </c>
      <c r="F11" s="30">
        <f>+IF(B11="","",(B11-$C$5))</f>
      </c>
      <c r="G11" s="62">
        <f>IF(C11="","",IF(F11="","",+C11*D11*F11))</f>
      </c>
      <c r="H11" s="62">
        <f>+G11</f>
      </c>
      <c r="I11" s="54"/>
      <c r="J11" s="54"/>
      <c r="K11" s="4"/>
      <c r="L11" s="4" t="s">
        <v>24</v>
      </c>
      <c r="M11" s="5">
        <f>IF($F$5="M",0.38,0.29)</f>
        <v>0.29</v>
      </c>
      <c r="O11" s="50"/>
      <c r="P11" s="5"/>
    </row>
    <row r="12" spans="1:16" ht="22.5" customHeight="1">
      <c r="A12" s="26"/>
      <c r="B12" s="31"/>
      <c r="C12" s="61">
        <f>IF(B12="","",ABS($H$5))</f>
      </c>
      <c r="D12" s="16"/>
      <c r="E12" s="29">
        <f>IF(D12="","",+D12+E11)</f>
      </c>
      <c r="F12" s="30">
        <f aca="true" t="shared" si="0" ref="F12:F38">+IF(B12="","",(B12-$C$5))</f>
      </c>
      <c r="G12" s="62">
        <f>IF(C12="","",IF(F12="","",+C12*D12*F12))</f>
      </c>
      <c r="H12" s="62">
        <f>IF(G12="","",+H11+G12)</f>
      </c>
      <c r="I12" s="55"/>
      <c r="J12" s="55"/>
      <c r="K12" s="4"/>
      <c r="L12" s="4" t="s">
        <v>25</v>
      </c>
      <c r="M12" s="5">
        <f>IF($F$5="M",0.39,0.3)</f>
        <v>0.3</v>
      </c>
      <c r="O12" s="50"/>
      <c r="P12" s="5"/>
    </row>
    <row r="13" spans="1:16" ht="22.5" customHeight="1">
      <c r="A13" s="26"/>
      <c r="B13" s="31"/>
      <c r="C13" s="61">
        <f aca="true" t="shared" si="1" ref="C13:C38">IF(B13="","",ABS($H$5))</f>
      </c>
      <c r="D13" s="16"/>
      <c r="E13" s="29">
        <f aca="true" t="shared" si="2" ref="E13:E38">IF(D13="","",+D13+E12)</f>
      </c>
      <c r="F13" s="30">
        <f t="shared" si="0"/>
      </c>
      <c r="G13" s="62">
        <f>IF(C13="","",IF(F13="","",+C13*D13*F13))</f>
      </c>
      <c r="H13" s="62">
        <f aca="true" t="shared" si="3" ref="H13:H38">IF(G13="","",+H12+G13)</f>
      </c>
      <c r="I13" s="55"/>
      <c r="J13" s="55"/>
      <c r="K13" s="4"/>
      <c r="L13" s="4" t="s">
        <v>63</v>
      </c>
      <c r="M13" s="5">
        <f>IF($F$5="M",0.36,0.3)</f>
        <v>0.3</v>
      </c>
      <c r="O13" s="50"/>
      <c r="P13" s="5"/>
    </row>
    <row r="14" spans="1:16" ht="22.5" customHeight="1">
      <c r="A14" s="26"/>
      <c r="B14" s="31"/>
      <c r="C14" s="61">
        <f t="shared" si="1"/>
      </c>
      <c r="D14" s="16"/>
      <c r="E14" s="29">
        <f t="shared" si="2"/>
      </c>
      <c r="F14" s="30">
        <f t="shared" si="0"/>
      </c>
      <c r="G14" s="62">
        <f>IF(C14="","",IF(F14="","",+C14*D14*F14))</f>
      </c>
      <c r="H14" s="62">
        <f t="shared" si="3"/>
      </c>
      <c r="I14" s="55"/>
      <c r="J14" s="55"/>
      <c r="K14" s="66"/>
      <c r="L14" s="4" t="str">
        <f>IF($F$5="M","Concrete Placement:  75mm","Concrete Placement:  3 inches")</f>
        <v>Concrete Placement:  3 inches</v>
      </c>
      <c r="M14" s="5">
        <f>IF($F$5="M",0.36,0.3)</f>
        <v>0.3</v>
      </c>
      <c r="O14" s="50"/>
      <c r="P14" s="67"/>
    </row>
    <row r="15" spans="1:16" ht="22.5" customHeight="1">
      <c r="A15" s="26"/>
      <c r="B15" s="31"/>
      <c r="C15" s="61">
        <f t="shared" si="1"/>
      </c>
      <c r="D15" s="16"/>
      <c r="E15" s="29">
        <f t="shared" si="2"/>
      </c>
      <c r="F15" s="30">
        <f t="shared" si="0"/>
      </c>
      <c r="G15" s="62">
        <f>IF(C15="","",IF(F15="","",+C15*D15*F15))</f>
      </c>
      <c r="H15" s="62">
        <f t="shared" si="3"/>
      </c>
      <c r="I15" s="55"/>
      <c r="J15" s="55"/>
      <c r="K15" s="66"/>
      <c r="L15" s="4" t="str">
        <f>IF($F$5="M","","Concrete Placement:  3.5 inches")</f>
        <v>Concrete Placement:  3.5 inches</v>
      </c>
      <c r="M15" s="5">
        <f>IF($F$5="M",0.39,0.33)</f>
        <v>0.33</v>
      </c>
      <c r="O15" s="50"/>
      <c r="P15" s="67"/>
    </row>
    <row r="16" spans="1:16" ht="22.5" customHeight="1">
      <c r="A16" s="26"/>
      <c r="B16" s="31"/>
      <c r="C16" s="61">
        <f t="shared" si="1"/>
      </c>
      <c r="D16" s="16"/>
      <c r="E16" s="29">
        <f t="shared" si="2"/>
      </c>
      <c r="F16" s="30">
        <f t="shared" si="0"/>
      </c>
      <c r="G16" s="62">
        <f aca="true" t="shared" si="4" ref="G16:G38">IF(F16="","",+C16*D16*F16)</f>
      </c>
      <c r="H16" s="62">
        <f t="shared" si="3"/>
      </c>
      <c r="I16" s="55"/>
      <c r="J16" s="55"/>
      <c r="K16" s="4"/>
      <c r="L16" s="4" t="str">
        <f>IF($F$5="M","Concrete Placement:  100mm","Concrete Placement:  4 inches")</f>
        <v>Concrete Placement:  4 inches</v>
      </c>
      <c r="M16" s="5">
        <f>IF($F$5="M",0.43,0.36)</f>
        <v>0.36</v>
      </c>
      <c r="O16" s="50"/>
      <c r="P16" s="5"/>
    </row>
    <row r="17" spans="1:16" ht="22.5" customHeight="1">
      <c r="A17" s="26"/>
      <c r="B17" s="31"/>
      <c r="C17" s="61">
        <f t="shared" si="1"/>
      </c>
      <c r="D17" s="16"/>
      <c r="E17" s="29">
        <f t="shared" si="2"/>
      </c>
      <c r="F17" s="30">
        <f t="shared" si="0"/>
      </c>
      <c r="G17" s="62">
        <f t="shared" si="4"/>
      </c>
      <c r="H17" s="62">
        <f t="shared" si="3"/>
      </c>
      <c r="I17" s="55"/>
      <c r="J17" s="55"/>
      <c r="K17" s="66"/>
      <c r="L17" s="4" t="str">
        <f>IF($F$5="M","","Concrete Placement:  4.5 inches")</f>
        <v>Concrete Placement:  4.5 inches</v>
      </c>
      <c r="M17" s="5">
        <f>IF($F$5="M",0.46,0.39)</f>
        <v>0.39</v>
      </c>
      <c r="O17" s="50"/>
      <c r="P17" s="67"/>
    </row>
    <row r="18" spans="1:16" ht="22.5" customHeight="1">
      <c r="A18" s="26"/>
      <c r="B18" s="31"/>
      <c r="C18" s="61">
        <f t="shared" si="1"/>
      </c>
      <c r="D18" s="16"/>
      <c r="E18" s="29">
        <f t="shared" si="2"/>
      </c>
      <c r="F18" s="30">
        <f t="shared" si="0"/>
      </c>
      <c r="G18" s="62">
        <f t="shared" si="4"/>
      </c>
      <c r="H18" s="62">
        <f t="shared" si="3"/>
      </c>
      <c r="I18" s="55"/>
      <c r="J18" s="55"/>
      <c r="K18" s="4"/>
      <c r="L18" s="4" t="str">
        <f>IF($F$5="M","Concrete Placement:  140mm","Concrete Placement:  5 inches")</f>
        <v>Concrete Placement:  5 inches</v>
      </c>
      <c r="M18" s="5">
        <f>IF($F$5="M",0.5,0.42)</f>
        <v>0.42</v>
      </c>
      <c r="O18" s="50"/>
      <c r="P18" s="5"/>
    </row>
    <row r="19" spans="1:16" ht="22.5" customHeight="1">
      <c r="A19" s="26"/>
      <c r="B19" s="31"/>
      <c r="C19" s="61">
        <f t="shared" si="1"/>
      </c>
      <c r="D19" s="16"/>
      <c r="E19" s="29">
        <f t="shared" si="2"/>
      </c>
      <c r="F19" s="30">
        <f t="shared" si="0"/>
      </c>
      <c r="G19" s="62">
        <f t="shared" si="4"/>
      </c>
      <c r="H19" s="62">
        <f t="shared" si="3"/>
      </c>
      <c r="I19" s="55"/>
      <c r="J19" s="55"/>
      <c r="K19" s="66"/>
      <c r="L19" s="4" t="str">
        <f>IF($F$5="M","","Concrete Placement:  5.5 inches")</f>
        <v>Concrete Placement:  5.5 inches</v>
      </c>
      <c r="M19" s="5">
        <f>IF($F$5="M",0.53,0.45)</f>
        <v>0.45</v>
      </c>
      <c r="O19" s="50"/>
      <c r="P19" s="67"/>
    </row>
    <row r="20" spans="1:16" ht="21" customHeight="1">
      <c r="A20" s="26"/>
      <c r="B20" s="31"/>
      <c r="C20" s="61">
        <f t="shared" si="1"/>
      </c>
      <c r="D20" s="16"/>
      <c r="E20" s="29">
        <f t="shared" si="2"/>
      </c>
      <c r="F20" s="30">
        <f t="shared" si="0"/>
      </c>
      <c r="G20" s="62">
        <f t="shared" si="4"/>
      </c>
      <c r="H20" s="62">
        <f t="shared" si="3"/>
      </c>
      <c r="I20" s="55"/>
      <c r="J20" s="55"/>
      <c r="K20" s="4"/>
      <c r="L20" s="4" t="str">
        <f>IF($F$5="M","Concrete Placement:  160mm","Concrete Placement:  6 inches")</f>
        <v>Concrete Placement:  6 inches</v>
      </c>
      <c r="M20" s="5">
        <f>IF($F$5="M",0.57,0.48)</f>
        <v>0.48</v>
      </c>
      <c r="O20" s="50"/>
      <c r="P20" s="5"/>
    </row>
    <row r="21" spans="1:16" ht="21" customHeight="1">
      <c r="A21" s="26"/>
      <c r="B21" s="31"/>
      <c r="C21" s="61">
        <f t="shared" si="1"/>
      </c>
      <c r="D21" s="16"/>
      <c r="E21" s="29">
        <f t="shared" si="2"/>
      </c>
      <c r="F21" s="30">
        <f t="shared" si="0"/>
      </c>
      <c r="G21" s="62">
        <f t="shared" si="4"/>
      </c>
      <c r="H21" s="62">
        <f t="shared" si="3"/>
      </c>
      <c r="I21" s="55"/>
      <c r="J21" s="55"/>
      <c r="K21" s="66"/>
      <c r="L21" s="4" t="str">
        <f>IF($F$5="M","Bonded Concrete Pavement (75mm)","Bonded Concrete Pavement (3 inches)")</f>
        <v>Bonded Concrete Pavement (3 inches)</v>
      </c>
      <c r="M21" s="5">
        <f>IF($F$5="M",0.36,0.3)</f>
        <v>0.3</v>
      </c>
      <c r="O21" s="50"/>
      <c r="P21" s="67"/>
    </row>
    <row r="22" spans="1:16" ht="21" customHeight="1">
      <c r="A22" s="26"/>
      <c r="B22" s="31"/>
      <c r="C22" s="61">
        <f t="shared" si="1"/>
      </c>
      <c r="D22" s="16"/>
      <c r="E22" s="29">
        <f t="shared" si="2"/>
      </c>
      <c r="F22" s="30">
        <f t="shared" si="0"/>
      </c>
      <c r="G22" s="62">
        <f t="shared" si="4"/>
      </c>
      <c r="H22" s="62">
        <f t="shared" si="3"/>
      </c>
      <c r="I22" s="55"/>
      <c r="J22" s="55"/>
      <c r="K22" s="4"/>
      <c r="L22" s="4" t="str">
        <f>IF($F$5="M","","Bonded Concrete Pavement (3.5 inches)")</f>
        <v>Bonded Concrete Pavement (3.5 inches)</v>
      </c>
      <c r="M22" s="5">
        <f>IF($F$5="M",0.39,0.33)</f>
        <v>0.33</v>
      </c>
      <c r="O22" s="50"/>
      <c r="P22" s="5"/>
    </row>
    <row r="23" spans="1:16" ht="22.5" customHeight="1">
      <c r="A23" s="26"/>
      <c r="B23" s="31"/>
      <c r="C23" s="61">
        <f t="shared" si="1"/>
      </c>
      <c r="D23" s="16"/>
      <c r="E23" s="29">
        <f t="shared" si="2"/>
      </c>
      <c r="F23" s="30">
        <f t="shared" si="0"/>
      </c>
      <c r="G23" s="62">
        <f t="shared" si="4"/>
      </c>
      <c r="H23" s="62">
        <f t="shared" si="3"/>
      </c>
      <c r="I23" s="55"/>
      <c r="J23" s="55"/>
      <c r="K23" s="66"/>
      <c r="L23" s="4" t="str">
        <f>IF($F$5="M","Bonded Concrete Pavement (100mm)","Bonded Concrete Pavement (4 inches)")</f>
        <v>Bonded Concrete Pavement (4 inches)</v>
      </c>
      <c r="M23" s="5">
        <f>IF($F$5="M",0.43,0.36)</f>
        <v>0.36</v>
      </c>
      <c r="O23" s="50"/>
      <c r="P23" s="67"/>
    </row>
    <row r="24" spans="1:16" ht="22.5" customHeight="1">
      <c r="A24" s="26"/>
      <c r="B24" s="31"/>
      <c r="C24" s="61">
        <f t="shared" si="1"/>
      </c>
      <c r="D24" s="16"/>
      <c r="E24" s="29">
        <f t="shared" si="2"/>
      </c>
      <c r="F24" s="30">
        <f t="shared" si="0"/>
      </c>
      <c r="G24" s="62">
        <f t="shared" si="4"/>
      </c>
      <c r="H24" s="62">
        <f t="shared" si="3"/>
      </c>
      <c r="I24" s="55"/>
      <c r="J24" s="55"/>
      <c r="K24" s="4"/>
      <c r="L24" s="4" t="str">
        <f>IF($F$5="M","","Bonded Concrete Pavement (4.5 inches)")</f>
        <v>Bonded Concrete Pavement (4.5 inches)</v>
      </c>
      <c r="M24" s="5">
        <f>IF($F$5="M",0.46,0.39)</f>
        <v>0.39</v>
      </c>
      <c r="O24" s="50"/>
      <c r="P24" s="5"/>
    </row>
    <row r="25" spans="1:16" ht="22.5" customHeight="1">
      <c r="A25" s="26"/>
      <c r="B25" s="31"/>
      <c r="C25" s="61">
        <f t="shared" si="1"/>
      </c>
      <c r="D25" s="16"/>
      <c r="E25" s="29">
        <f t="shared" si="2"/>
      </c>
      <c r="F25" s="30">
        <f t="shared" si="0"/>
      </c>
      <c r="G25" s="62">
        <f t="shared" si="4"/>
      </c>
      <c r="H25" s="62">
        <f t="shared" si="3"/>
      </c>
      <c r="I25" s="55"/>
      <c r="J25" s="55"/>
      <c r="K25" s="66"/>
      <c r="L25" s="4" t="str">
        <f>IF($F$5="M","Bonded Concrete Pavement (140mm)","Bonded Concrete Pavement (5 inches)")</f>
        <v>Bonded Concrete Pavement (5 inches)</v>
      </c>
      <c r="M25" s="5">
        <f>IF($F$5="M",0.5,0.42)</f>
        <v>0.42</v>
      </c>
      <c r="O25" s="50"/>
      <c r="P25" s="67"/>
    </row>
    <row r="26" spans="1:16" ht="22.5" customHeight="1">
      <c r="A26" s="26"/>
      <c r="B26" s="31"/>
      <c r="C26" s="61">
        <f t="shared" si="1"/>
      </c>
      <c r="D26" s="16"/>
      <c r="E26" s="29">
        <f t="shared" si="2"/>
      </c>
      <c r="F26" s="30">
        <f t="shared" si="0"/>
      </c>
      <c r="G26" s="62">
        <f t="shared" si="4"/>
      </c>
      <c r="H26" s="62">
        <f t="shared" si="3"/>
      </c>
      <c r="I26" s="55"/>
      <c r="J26" s="55"/>
      <c r="K26" s="4"/>
      <c r="L26" s="4" t="str">
        <f>IF($F$5="M","","Bonded Concrete Pavement (5.5 inches)")</f>
        <v>Bonded Concrete Pavement (5.5 inches)</v>
      </c>
      <c r="M26" s="5">
        <f>IF($F$5="M",0.53,0.45)</f>
        <v>0.45</v>
      </c>
      <c r="O26" s="50"/>
      <c r="P26" s="5"/>
    </row>
    <row r="27" spans="1:16" ht="22.5" customHeight="1">
      <c r="A27" s="26"/>
      <c r="B27" s="31"/>
      <c r="C27" s="61">
        <f t="shared" si="1"/>
      </c>
      <c r="D27" s="16"/>
      <c r="E27" s="29">
        <f t="shared" si="2"/>
      </c>
      <c r="F27" s="30">
        <f t="shared" si="0"/>
      </c>
      <c r="G27" s="62">
        <f t="shared" si="4"/>
      </c>
      <c r="H27" s="62">
        <f t="shared" si="3"/>
      </c>
      <c r="I27" s="55"/>
      <c r="J27" s="55"/>
      <c r="K27" s="66"/>
      <c r="L27" s="4" t="str">
        <f>IF($F$5="M","Bonded Concrete Pavement (160mm)","Bonded Concrete Pavement (6 inches)")</f>
        <v>Bonded Concrete Pavement (6 inches)</v>
      </c>
      <c r="M27" s="5">
        <f>IF($F$5="M",0.57,0.48)</f>
        <v>0.48</v>
      </c>
      <c r="O27" s="50"/>
      <c r="P27" s="67"/>
    </row>
    <row r="28" spans="1:16" ht="22.5" customHeight="1">
      <c r="A28" s="26"/>
      <c r="B28" s="31"/>
      <c r="C28" s="61">
        <f t="shared" si="1"/>
      </c>
      <c r="D28" s="16"/>
      <c r="E28" s="29">
        <f t="shared" si="2"/>
      </c>
      <c r="F28" s="30">
        <f t="shared" si="0"/>
      </c>
      <c r="G28" s="62">
        <f t="shared" si="4"/>
      </c>
      <c r="H28" s="62">
        <f t="shared" si="3"/>
      </c>
      <c r="I28" s="55"/>
      <c r="J28" s="55"/>
      <c r="K28" s="4"/>
      <c r="L28" s="4" t="str">
        <f>IF($F$5="M","Concrete Pavement 160 mm","Concrete Pavement 6 inches")</f>
        <v>Concrete Pavement 6 inches</v>
      </c>
      <c r="M28" s="5">
        <f>IF($F$5="M",0.58,0.48)</f>
        <v>0.48</v>
      </c>
      <c r="O28" s="50"/>
      <c r="P28" s="5"/>
    </row>
    <row r="29" spans="1:16" ht="22.5" customHeight="1">
      <c r="A29" s="26"/>
      <c r="B29" s="31"/>
      <c r="C29" s="61">
        <f t="shared" si="1"/>
      </c>
      <c r="D29" s="16"/>
      <c r="E29" s="29">
        <f t="shared" si="2"/>
      </c>
      <c r="F29" s="30">
        <f t="shared" si="0"/>
      </c>
      <c r="G29" s="62">
        <f t="shared" si="4"/>
      </c>
      <c r="H29" s="62">
        <f t="shared" si="3"/>
      </c>
      <c r="I29" s="55"/>
      <c r="J29" s="55"/>
      <c r="K29" s="4"/>
      <c r="L29" s="4" t="str">
        <f>IF($F$5="M","","Concrete Pavement 6.5 inches")</f>
        <v>Concrete Pavement 6.5 inches</v>
      </c>
      <c r="M29" s="5">
        <f>IF($F$5="M",0.61,0.51)</f>
        <v>0.51</v>
      </c>
      <c r="O29" s="50"/>
      <c r="P29" s="5"/>
    </row>
    <row r="30" spans="1:16" ht="22.5" customHeight="1">
      <c r="A30" s="26"/>
      <c r="B30" s="31"/>
      <c r="C30" s="61">
        <f t="shared" si="1"/>
      </c>
      <c r="D30" s="16"/>
      <c r="E30" s="29">
        <f t="shared" si="2"/>
      </c>
      <c r="F30" s="30">
        <f t="shared" si="0"/>
      </c>
      <c r="G30" s="62">
        <f t="shared" si="4"/>
      </c>
      <c r="H30" s="62">
        <f t="shared" si="3"/>
      </c>
      <c r="I30" s="55"/>
      <c r="J30" s="55"/>
      <c r="K30" s="4"/>
      <c r="L30" s="4" t="str">
        <f>IF($F$5="M","Concrete Pavement 180 mm","Concrete Pavement 7 inches")</f>
        <v>Concrete Pavement 7 inches</v>
      </c>
      <c r="M30" s="5">
        <f>IF($F$5="M",0.65,0.54)</f>
        <v>0.54</v>
      </c>
      <c r="O30" s="50"/>
      <c r="P30" s="5"/>
    </row>
    <row r="31" spans="1:16" ht="22.5" customHeight="1">
      <c r="A31" s="26"/>
      <c r="B31" s="31"/>
      <c r="C31" s="61">
        <f t="shared" si="1"/>
      </c>
      <c r="D31" s="16"/>
      <c r="E31" s="29">
        <f t="shared" si="2"/>
      </c>
      <c r="F31" s="30">
        <f t="shared" si="0"/>
      </c>
      <c r="G31" s="62">
        <f t="shared" si="4"/>
      </c>
      <c r="H31" s="62">
        <f t="shared" si="3"/>
      </c>
      <c r="I31" s="55"/>
      <c r="J31" s="55"/>
      <c r="K31" s="4"/>
      <c r="L31" s="4" t="str">
        <f>IF($F$5="M","Concrete Pavement 190 mm","Concrete Pavement 7.5 inches")</f>
        <v>Concrete Pavement 7.5 inches</v>
      </c>
      <c r="M31" s="5">
        <f>IF($F$5="M",0.69,0.57)</f>
        <v>0.57</v>
      </c>
      <c r="O31" s="50"/>
      <c r="P31" s="5"/>
    </row>
    <row r="32" spans="1:16" ht="22.5" customHeight="1">
      <c r="A32" s="26"/>
      <c r="B32" s="31"/>
      <c r="C32" s="61">
        <f t="shared" si="1"/>
      </c>
      <c r="D32" s="16"/>
      <c r="E32" s="29">
        <f t="shared" si="2"/>
      </c>
      <c r="F32" s="30">
        <f t="shared" si="0"/>
      </c>
      <c r="G32" s="62">
        <f t="shared" si="4"/>
      </c>
      <c r="H32" s="62">
        <f t="shared" si="3"/>
      </c>
      <c r="I32" s="55"/>
      <c r="J32" s="55"/>
      <c r="K32" s="4"/>
      <c r="L32" s="4" t="str">
        <f>IF($F$5="M","Concrete Pavement 200 mm","Concrete Pavement 8 inches")</f>
        <v>Concrete Pavement 8 inches</v>
      </c>
      <c r="M32" s="5">
        <f>IF($F$5="M",0.72,0.6)</f>
        <v>0.6</v>
      </c>
      <c r="O32" s="50"/>
      <c r="P32" s="5"/>
    </row>
    <row r="33" spans="1:16" ht="22.5" customHeight="1">
      <c r="A33" s="26"/>
      <c r="B33" s="31"/>
      <c r="C33" s="61">
        <f t="shared" si="1"/>
      </c>
      <c r="D33" s="16"/>
      <c r="E33" s="29">
        <f t="shared" si="2"/>
      </c>
      <c r="F33" s="30">
        <f t="shared" si="0"/>
      </c>
      <c r="G33" s="62">
        <f t="shared" si="4"/>
      </c>
      <c r="H33" s="62">
        <f t="shared" si="3"/>
      </c>
      <c r="I33" s="55"/>
      <c r="J33" s="55"/>
      <c r="K33" s="6"/>
      <c r="L33" s="4" t="str">
        <f>IF($F$5="M","Concrete Pavement 220 mm","Concrete Pavement 8 1/2 inches")</f>
        <v>Concrete Pavement 8 1/2 inches</v>
      </c>
      <c r="M33" s="5">
        <f>IF($F$5="M",0.76,0.63)</f>
        <v>0.63</v>
      </c>
      <c r="N33" s="6"/>
      <c r="O33" s="50"/>
      <c r="P33" s="50"/>
    </row>
    <row r="34" spans="1:16" ht="22.5" customHeight="1">
      <c r="A34" s="26"/>
      <c r="B34" s="31"/>
      <c r="C34" s="61">
        <f t="shared" si="1"/>
      </c>
      <c r="D34" s="16"/>
      <c r="E34" s="29">
        <f t="shared" si="2"/>
      </c>
      <c r="F34" s="30">
        <f t="shared" si="0"/>
      </c>
      <c r="G34" s="62">
        <f t="shared" si="4"/>
      </c>
      <c r="H34" s="62">
        <f t="shared" si="3"/>
      </c>
      <c r="I34" s="55"/>
      <c r="J34" s="55"/>
      <c r="K34" s="7"/>
      <c r="L34" s="4" t="str">
        <f>IF($F$5="M","Concrete Pavement 230 mm","Concrete Pavement 9 inches")</f>
        <v>Concrete Pavement 9 inches</v>
      </c>
      <c r="M34" s="5">
        <f>IF($F$5="M",0.79,0.66)</f>
        <v>0.66</v>
      </c>
      <c r="N34" s="6"/>
      <c r="O34" s="50"/>
      <c r="P34" s="50"/>
    </row>
    <row r="35" spans="1:16" ht="22.5" customHeight="1">
      <c r="A35" s="26"/>
      <c r="B35" s="31"/>
      <c r="C35" s="61">
        <f t="shared" si="1"/>
      </c>
      <c r="D35" s="16"/>
      <c r="E35" s="29">
        <f t="shared" si="2"/>
      </c>
      <c r="F35" s="30">
        <f t="shared" si="0"/>
      </c>
      <c r="G35" s="62">
        <f t="shared" si="4"/>
      </c>
      <c r="H35" s="62">
        <f t="shared" si="3"/>
      </c>
      <c r="I35" s="55"/>
      <c r="J35" s="55"/>
      <c r="K35" s="7"/>
      <c r="L35" s="4" t="str">
        <f>IF($F$5="M","Concrete Pavement 240 mm","Concrete Pavement 9 1/2 inches")</f>
        <v>Concrete Pavement 9 1/2 inches</v>
      </c>
      <c r="M35" s="5">
        <f>IF($F$5="M",0.82,0.69)</f>
        <v>0.69</v>
      </c>
      <c r="N35" s="6"/>
      <c r="O35" s="50"/>
      <c r="P35" s="50"/>
    </row>
    <row r="36" spans="1:16" ht="22.5" customHeight="1">
      <c r="A36" s="26"/>
      <c r="B36" s="31"/>
      <c r="C36" s="61">
        <f t="shared" si="1"/>
      </c>
      <c r="D36" s="16"/>
      <c r="E36" s="29">
        <f t="shared" si="2"/>
      </c>
      <c r="F36" s="30">
        <f t="shared" si="0"/>
      </c>
      <c r="G36" s="62">
        <f t="shared" si="4"/>
      </c>
      <c r="H36" s="62">
        <f t="shared" si="3"/>
      </c>
      <c r="I36" s="55"/>
      <c r="J36" s="55"/>
      <c r="K36" s="7"/>
      <c r="L36" s="4" t="str">
        <f>IF($F$5="M","Concrete Pavement 250 mm","Concrete Pavement 10 inches")</f>
        <v>Concrete Pavement 10 inches</v>
      </c>
      <c r="M36" s="5">
        <f>IF($F$5="M",0.86,0.72)</f>
        <v>0.72</v>
      </c>
      <c r="N36" s="6"/>
      <c r="O36" s="50"/>
      <c r="P36" s="50"/>
    </row>
    <row r="37" spans="1:16" ht="22.5" customHeight="1">
      <c r="A37" s="26"/>
      <c r="B37" s="31"/>
      <c r="C37" s="61">
        <f t="shared" si="1"/>
      </c>
      <c r="D37" s="16"/>
      <c r="E37" s="29">
        <f t="shared" si="2"/>
      </c>
      <c r="F37" s="30">
        <f t="shared" si="0"/>
      </c>
      <c r="G37" s="62">
        <f t="shared" si="4"/>
      </c>
      <c r="H37" s="62">
        <f t="shared" si="3"/>
      </c>
      <c r="I37" s="55"/>
      <c r="J37" s="55"/>
      <c r="K37" s="7"/>
      <c r="L37" s="4">
        <f>IF(F5="M","Concrete Pavement 260 mm","")</f>
      </c>
      <c r="M37" s="5">
        <v>0.86</v>
      </c>
      <c r="N37" s="6"/>
      <c r="O37" s="50"/>
      <c r="P37" s="50"/>
    </row>
    <row r="38" spans="1:16" ht="22.5" customHeight="1">
      <c r="A38" s="26"/>
      <c r="B38" s="31"/>
      <c r="C38" s="61">
        <f t="shared" si="1"/>
      </c>
      <c r="D38" s="16"/>
      <c r="E38" s="29">
        <f t="shared" si="2"/>
      </c>
      <c r="F38" s="30">
        <f t="shared" si="0"/>
      </c>
      <c r="G38" s="62">
        <f t="shared" si="4"/>
      </c>
      <c r="H38" s="62">
        <f t="shared" si="3"/>
      </c>
      <c r="I38" s="55"/>
      <c r="J38" s="55"/>
      <c r="K38" s="7"/>
      <c r="L38" s="4" t="str">
        <f>IF($F$5="M","Concrete Pavement 270 mm","Concrete Pavement 10 1/2 inches")</f>
        <v>Concrete Pavement 10 1/2 inches</v>
      </c>
      <c r="M38" s="5">
        <f>IF($F$5="M",0.89,0.75)</f>
        <v>0.75</v>
      </c>
      <c r="N38" s="6"/>
      <c r="O38" s="50"/>
      <c r="P38" s="50"/>
    </row>
    <row r="39" spans="1:16" ht="22.5" customHeight="1">
      <c r="A39" s="39"/>
      <c r="B39" s="40"/>
      <c r="C39" s="32"/>
      <c r="D39" s="32"/>
      <c r="E39" s="33"/>
      <c r="F39" s="34"/>
      <c r="G39" s="35"/>
      <c r="H39" s="36" t="s">
        <v>66</v>
      </c>
      <c r="I39" s="47"/>
      <c r="J39" s="55"/>
      <c r="K39" s="7"/>
      <c r="L39" s="4" t="str">
        <f>IF($F$5="M","Concrete Pavement 280 mm","Concrete Pavement 11 inches")</f>
        <v>Concrete Pavement 11 inches</v>
      </c>
      <c r="M39" s="5">
        <f>IF($F$5="M",0.93,0.78)</f>
        <v>0.78</v>
      </c>
      <c r="N39" s="6"/>
      <c r="O39" s="50"/>
      <c r="P39" s="50"/>
    </row>
    <row r="40" spans="9:14" ht="12.75">
      <c r="I40" s="41"/>
      <c r="J40" s="41"/>
      <c r="K40" s="7"/>
      <c r="L40" s="4" t="str">
        <f>IF($F$5="M","Concrete Pavement 290 mm","Concrete Pavement 11 1/2 inches")</f>
        <v>Concrete Pavement 11 1/2 inches</v>
      </c>
      <c r="M40" s="5">
        <f>IF($F$5="M",0.96,0.81)</f>
        <v>0.81</v>
      </c>
      <c r="N40" s="6"/>
    </row>
    <row r="41" spans="1:14" ht="12.75">
      <c r="A41" s="42"/>
      <c r="B41" s="43"/>
      <c r="C41" s="44"/>
      <c r="D41" s="44"/>
      <c r="E41" s="45"/>
      <c r="F41" s="46"/>
      <c r="G41" s="47"/>
      <c r="H41" s="47"/>
      <c r="I41" s="47"/>
      <c r="J41" s="47"/>
      <c r="K41" s="7"/>
      <c r="L41" s="4" t="str">
        <f>IF($F$5="M","Concrete Pavement 300 mm","Concrete Pavement 12 inches")</f>
        <v>Concrete Pavement 12 inches</v>
      </c>
      <c r="M41" s="5">
        <f>IF($F$5="M",0.99,0.83)</f>
        <v>0.83</v>
      </c>
      <c r="N41" s="6"/>
    </row>
    <row r="42" spans="1:14" ht="12.75">
      <c r="A42" s="42"/>
      <c r="B42" s="43"/>
      <c r="C42" s="44"/>
      <c r="D42" s="44"/>
      <c r="E42" s="45"/>
      <c r="F42" s="46"/>
      <c r="G42" s="47"/>
      <c r="H42" s="47"/>
      <c r="I42" s="47"/>
      <c r="J42" s="47"/>
      <c r="K42" s="7"/>
      <c r="L42" s="4" t="str">
        <f>IF($F$5="M","Concrete Pavement 320 mm","Concrete Pavement 12 1/2 inches")</f>
        <v>Concrete Pavement 12 1/2 inches</v>
      </c>
      <c r="M42" s="5">
        <f>IF($F$5="M",1.02,0.86)</f>
        <v>0.86</v>
      </c>
      <c r="N42" s="6"/>
    </row>
    <row r="43" spans="1:14" ht="12.75">
      <c r="A43" s="42"/>
      <c r="B43" s="43"/>
      <c r="C43" s="44"/>
      <c r="D43" s="44"/>
      <c r="E43" s="45"/>
      <c r="F43" s="46"/>
      <c r="G43" s="47"/>
      <c r="H43" s="47"/>
      <c r="I43" s="47"/>
      <c r="J43" s="47"/>
      <c r="K43" s="7"/>
      <c r="L43" s="4" t="str">
        <f>IF($F$5="M","Concrete Pavement 330 mm","Concrete Pavement 13 inches")</f>
        <v>Concrete Pavement 13 inches</v>
      </c>
      <c r="M43" s="5">
        <f>IF($F$5="M",1.06,0.89)</f>
        <v>0.89</v>
      </c>
      <c r="N43" s="6"/>
    </row>
    <row r="44" spans="1:14" ht="12.75">
      <c r="A44" s="42"/>
      <c r="B44" s="43"/>
      <c r="C44" s="44"/>
      <c r="D44" s="44"/>
      <c r="E44" s="45"/>
      <c r="F44" s="46"/>
      <c r="G44" s="47"/>
      <c r="H44" s="47"/>
      <c r="I44" s="47"/>
      <c r="J44" s="47"/>
      <c r="K44" s="7"/>
      <c r="L44" s="4" t="str">
        <f>IF($F$5="M","Concrete Pavement 340 mm","Concrete Pavement 13 1/2 inches")</f>
        <v>Concrete Pavement 13 1/2 inches</v>
      </c>
      <c r="M44" s="5">
        <f>IF($F$5="M",1.1,0.92)</f>
        <v>0.92</v>
      </c>
      <c r="N44" s="6"/>
    </row>
    <row r="45" spans="1:14" ht="12.75">
      <c r="A45" s="42"/>
      <c r="B45" s="43"/>
      <c r="C45" s="44"/>
      <c r="D45" s="44"/>
      <c r="E45" s="45"/>
      <c r="F45" s="46"/>
      <c r="G45" s="47"/>
      <c r="H45" s="47"/>
      <c r="I45" s="47"/>
      <c r="J45" s="47"/>
      <c r="K45" s="7"/>
      <c r="L45" s="4" t="str">
        <f>IF($F$5="M","Concrete Pavement 360 mm","Concrete Pavement 14 inches")</f>
        <v>Concrete Pavement 14 inches</v>
      </c>
      <c r="M45" s="5">
        <f>IF($F$5="M",1.14,0.95)</f>
        <v>0.95</v>
      </c>
      <c r="N45" s="6"/>
    </row>
    <row r="46" spans="1:14" ht="12.75">
      <c r="A46" s="48"/>
      <c r="B46" s="48"/>
      <c r="C46" s="48"/>
      <c r="D46" s="48"/>
      <c r="E46" s="49"/>
      <c r="F46" s="48"/>
      <c r="G46" s="48"/>
      <c r="H46" s="48"/>
      <c r="I46" s="48"/>
      <c r="J46" s="48"/>
      <c r="K46" s="7"/>
      <c r="L46" s="4" t="str">
        <f>IF($F$5="M","Concrete Pavement 370 mm","Concrete Pavement 14 1/2 inches")</f>
        <v>Concrete Pavement 14 1/2 inches</v>
      </c>
      <c r="M46" s="5">
        <f>IF($F$5="M",1.17,0.98)</f>
        <v>0.98</v>
      </c>
      <c r="N46" s="6"/>
    </row>
    <row r="47" spans="1:14" ht="12.75">
      <c r="A47" s="50"/>
      <c r="B47" s="50"/>
      <c r="C47" s="50"/>
      <c r="D47" s="50"/>
      <c r="E47" s="51"/>
      <c r="F47" s="50"/>
      <c r="G47" s="50"/>
      <c r="H47" s="50"/>
      <c r="I47" s="50"/>
      <c r="J47" s="50"/>
      <c r="K47" s="7"/>
      <c r="L47" s="4" t="s">
        <v>60</v>
      </c>
      <c r="M47" s="5">
        <f>IF($F$5="M",334.65,10.2)</f>
        <v>10.2</v>
      </c>
      <c r="N47" s="6"/>
    </row>
    <row r="48" spans="1:14" ht="12.75">
      <c r="A48" s="50"/>
      <c r="B48" s="50"/>
      <c r="C48" s="50"/>
      <c r="D48" s="50"/>
      <c r="E48" s="51"/>
      <c r="F48" s="50"/>
      <c r="G48" s="50"/>
      <c r="H48" s="50"/>
      <c r="I48" s="50"/>
      <c r="J48" s="50"/>
      <c r="K48" s="7"/>
      <c r="L48" s="4" t="s">
        <v>59</v>
      </c>
      <c r="M48" s="5">
        <f>IF($F$5="M",2.65,2.4)</f>
        <v>2.4</v>
      </c>
      <c r="N48" s="6"/>
    </row>
    <row r="49" spans="1:14" ht="12.75">
      <c r="A49" s="50"/>
      <c r="B49" s="50"/>
      <c r="C49" s="50"/>
      <c r="D49" s="50"/>
      <c r="E49" s="51"/>
      <c r="F49" s="50"/>
      <c r="G49" s="50"/>
      <c r="H49" s="50"/>
      <c r="I49" s="50"/>
      <c r="J49" s="50"/>
      <c r="K49" s="7"/>
      <c r="L49" s="4" t="s">
        <v>64</v>
      </c>
      <c r="M49" s="5">
        <f>IF($F$5="M",2.65,2.4)</f>
        <v>2.4</v>
      </c>
      <c r="N49" s="6"/>
    </row>
    <row r="50" spans="1:14" ht="12.75">
      <c r="A50" s="50"/>
      <c r="B50" s="50"/>
      <c r="C50" s="50"/>
      <c r="D50" s="50"/>
      <c r="E50" s="51"/>
      <c r="F50" s="50"/>
      <c r="G50" s="50"/>
      <c r="H50" s="50"/>
      <c r="I50" s="50"/>
      <c r="J50" s="50"/>
      <c r="K50" s="7"/>
      <c r="L50" s="4" t="s">
        <v>65</v>
      </c>
      <c r="M50" s="5">
        <f>IF($F$5="M",2.65,2.4)</f>
        <v>2.4</v>
      </c>
      <c r="N50" s="6"/>
    </row>
    <row r="51" spans="11:13" ht="12.75">
      <c r="K51" s="7"/>
      <c r="L51" s="4"/>
      <c r="M51" s="5"/>
    </row>
    <row r="52" spans="11:13" ht="12.75">
      <c r="K52" s="7"/>
      <c r="L52" s="6"/>
      <c r="M52" s="6"/>
    </row>
    <row r="53" spans="11:13" ht="12.75">
      <c r="K53" s="7"/>
      <c r="L53" s="37"/>
      <c r="M53" s="37"/>
    </row>
    <row r="54" spans="11:13" ht="12.75">
      <c r="K54" s="7"/>
      <c r="L54" s="37"/>
      <c r="M54" s="37"/>
    </row>
    <row r="55" spans="12:13" ht="12.75">
      <c r="L55" s="37"/>
      <c r="M55" s="37"/>
    </row>
    <row r="56" spans="12:13" ht="12.75">
      <c r="L56" s="37"/>
      <c r="M56" s="37"/>
    </row>
    <row r="57" spans="12:13" ht="12.75">
      <c r="L57" s="37"/>
      <c r="M57" s="37"/>
    </row>
    <row r="58" spans="12:13" ht="12.75">
      <c r="L58" s="37"/>
      <c r="M58" s="37"/>
    </row>
    <row r="59" spans="12:13" ht="12.75">
      <c r="L59" s="37"/>
      <c r="M59" s="37"/>
    </row>
    <row r="60" spans="12:13" ht="12.75">
      <c r="L60" s="37"/>
      <c r="M60" s="37"/>
    </row>
    <row r="61" spans="12:13" ht="12.75">
      <c r="L61" s="37"/>
      <c r="M61" s="37"/>
    </row>
    <row r="62" spans="12:13" ht="12.75">
      <c r="L62" s="37"/>
      <c r="M62" s="37"/>
    </row>
    <row r="63" spans="12:13" ht="12.75">
      <c r="L63" s="37"/>
      <c r="M63" s="37"/>
    </row>
    <row r="64" spans="12:13" ht="12.75">
      <c r="L64" s="37"/>
      <c r="M64" s="37"/>
    </row>
    <row r="65" spans="12:13" ht="12.75">
      <c r="L65" s="37"/>
      <c r="M65" s="37"/>
    </row>
    <row r="66" spans="12:13" ht="12.75">
      <c r="L66" s="37"/>
      <c r="M66" s="37"/>
    </row>
    <row r="67" spans="12:13" ht="12.75">
      <c r="L67" s="37"/>
      <c r="M67" s="37"/>
    </row>
    <row r="68" spans="12:13" ht="12.75">
      <c r="L68" s="37"/>
      <c r="M68" s="37"/>
    </row>
    <row r="69" spans="12:13" ht="12.75">
      <c r="L69" s="37"/>
      <c r="M69" s="37"/>
    </row>
    <row r="70" ht="12.75">
      <c r="L70" s="37"/>
    </row>
    <row r="71" ht="12.75">
      <c r="L71" s="37"/>
    </row>
    <row r="72" ht="12.75">
      <c r="L72" s="37"/>
    </row>
  </sheetData>
  <sheetProtection password="BF11" sheet="1" objects="1" scenarios="1" selectLockedCells="1"/>
  <mergeCells count="4">
    <mergeCell ref="F3:H3"/>
    <mergeCell ref="F4:H4"/>
    <mergeCell ref="D5:E5"/>
    <mergeCell ref="B6:E6"/>
  </mergeCells>
  <dataValidations count="1">
    <dataValidation type="list" allowBlank="1" showInputMessage="1" showErrorMessage="1" promptTitle="Data Entry Restriction!" prompt="Please select one item from this drop down box. No other values will be accepted." errorTitle="Wrong data!" error="Please enter a value from the drop down list." sqref="B6:E6">
      <formula1>$L$7:$L$50</formula1>
    </dataValidation>
  </dataValidations>
  <printOptions/>
  <pageMargins left="1.06" right="0.5" top="0.5" bottom="0" header="0.5" footer="0"/>
  <pageSetup blackAndWhite="1" fitToHeight="1" fitToWidth="1" horizontalDpi="600" verticalDpi="60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showGridLines="0" showRowColHeaders="0" zoomScalePageLayoutView="0" workbookViewId="0" topLeftCell="A1">
      <selection activeCell="J33" sqref="J33"/>
    </sheetView>
  </sheetViews>
  <sheetFormatPr defaultColWidth="9.140625" defaultRowHeight="12.75"/>
  <cols>
    <col min="1" max="1" width="12.57421875" style="0" bestFit="1" customWidth="1"/>
    <col min="2" max="2" width="48.140625" style="0" bestFit="1" customWidth="1"/>
    <col min="3" max="3" width="7.28125" style="0" customWidth="1"/>
    <col min="4" max="4" width="14.8515625" style="0" customWidth="1"/>
  </cols>
  <sheetData>
    <row r="1" spans="1:8" ht="18">
      <c r="A1" s="85" t="s">
        <v>53</v>
      </c>
      <c r="B1" s="85"/>
      <c r="C1" s="85"/>
      <c r="D1" s="85"/>
      <c r="E1" s="85"/>
      <c r="F1" s="72"/>
      <c r="G1" s="72"/>
      <c r="H1" s="72"/>
    </row>
    <row r="2" spans="2:8" ht="18">
      <c r="B2" s="71"/>
      <c r="C2" s="71"/>
      <c r="D2" s="71"/>
      <c r="E2" s="71"/>
      <c r="F2" s="71"/>
      <c r="G2" s="72"/>
      <c r="H2" s="72"/>
    </row>
    <row r="3" spans="2:5" ht="12.75">
      <c r="B3" s="75" t="s">
        <v>54</v>
      </c>
      <c r="C3" s="87">
        <f>IF('Item 1'!F3="","",'Item 1'!F3)</f>
      </c>
      <c r="D3" s="87"/>
      <c r="E3" s="87"/>
    </row>
    <row r="4" spans="4:5" ht="12.75">
      <c r="D4" s="73"/>
      <c r="E4" s="73"/>
    </row>
    <row r="5" spans="2:5" ht="12.75">
      <c r="B5" s="75" t="s">
        <v>55</v>
      </c>
      <c r="C5" s="87">
        <f>IF('Item 1'!F4="","",('Item 1'!F4))</f>
      </c>
      <c r="D5" s="87"/>
      <c r="E5" s="87"/>
    </row>
    <row r="7" spans="1:6" ht="15">
      <c r="A7" s="70" t="s">
        <v>56</v>
      </c>
      <c r="C7" s="86" t="s">
        <v>52</v>
      </c>
      <c r="D7" s="86"/>
      <c r="E7" s="86"/>
      <c r="F7" s="74"/>
    </row>
    <row r="8" spans="1:6" ht="15">
      <c r="A8" s="70" t="s">
        <v>57</v>
      </c>
      <c r="B8" s="70" t="s">
        <v>50</v>
      </c>
      <c r="C8" s="86" t="s">
        <v>51</v>
      </c>
      <c r="D8" s="86"/>
      <c r="E8" s="86"/>
      <c r="F8" s="74"/>
    </row>
    <row r="9" spans="4:6" ht="12.75">
      <c r="D9" s="69"/>
      <c r="F9" s="69"/>
    </row>
    <row r="10" spans="1:4" ht="12.75">
      <c r="A10" s="69">
        <f>IF(B10="","","1")</f>
      </c>
      <c r="B10" s="6">
        <f>IF('Item 1'!$B$6:$E$6="","",('Item 1'!$B$6:$E$6))</f>
      </c>
      <c r="C10" s="6"/>
      <c r="D10" s="76">
        <f>IF(SUM('Item 1'!$G$11:$G$38)=0,"",SUM('Item 1'!$G$11:$G$38))</f>
      </c>
    </row>
    <row r="11" spans="1:4" ht="6" customHeight="1">
      <c r="A11" s="69"/>
      <c r="B11" s="6"/>
      <c r="C11" s="6"/>
      <c r="D11" s="76"/>
    </row>
    <row r="12" spans="1:4" ht="12.75">
      <c r="A12" s="69">
        <f>IF(B12="","","2")</f>
      </c>
      <c r="B12" s="6">
        <f>IF('Item 2'!$B$6:$E$6="","",'Item 2'!$B$6:$E$6)</f>
      </c>
      <c r="C12" s="6"/>
      <c r="D12" s="76">
        <f>IF(SUM('Item 2'!$G$11:$G$38)=0,"",SUM('Item 2'!$G$11:$G$38))</f>
      </c>
    </row>
    <row r="13" spans="1:4" ht="6" customHeight="1">
      <c r="A13" s="69"/>
      <c r="B13" s="6"/>
      <c r="C13" s="6"/>
      <c r="D13" s="76"/>
    </row>
    <row r="14" spans="1:4" ht="12.75">
      <c r="A14" s="69">
        <f>IF(B14="","","3")</f>
      </c>
      <c r="B14" s="6">
        <f>IF('Item 3'!$B$6:$E$6="","",'Item 3'!$B$6:$E$6)</f>
      </c>
      <c r="C14" s="6"/>
      <c r="D14" s="76">
        <f>IF(SUM('Item 3'!$G$11:$G$38)=0,"",SUM('Item 3'!$G$11:$G$38))</f>
      </c>
    </row>
    <row r="15" spans="1:4" ht="6" customHeight="1">
      <c r="A15" s="69"/>
      <c r="B15" s="6"/>
      <c r="C15" s="6"/>
      <c r="D15" s="76"/>
    </row>
    <row r="16" spans="1:4" ht="12.75">
      <c r="A16" s="69">
        <f>IF(B16="","","4")</f>
      </c>
      <c r="B16" s="6">
        <f>IF('Item 4'!$B$6:$E$6="","",'Item 4'!$B$6:$E$6)</f>
      </c>
      <c r="C16" s="6"/>
      <c r="D16" s="76">
        <f>IF(SUM('Item 4'!$G$11:$G$38)=0,"",SUM('Item 4'!$G$11:$G$38))</f>
      </c>
    </row>
    <row r="17" spans="1:4" ht="6" customHeight="1">
      <c r="A17" s="69"/>
      <c r="B17" s="6"/>
      <c r="C17" s="6"/>
      <c r="D17" s="76"/>
    </row>
    <row r="18" spans="1:4" ht="12.75">
      <c r="A18" s="69">
        <f>IF(B18="","","5")</f>
      </c>
      <c r="B18" s="6">
        <f>IF('Item 5'!$B$6:$E$6="","",'Item 5'!$B$6:$E$6)</f>
      </c>
      <c r="C18" s="6"/>
      <c r="D18" s="76">
        <f>IF(SUM('Item 5'!$G$11:$G$38)=0,"",SUM('Item 5'!$G$11:$G$38))</f>
      </c>
    </row>
    <row r="19" spans="1:4" ht="6" customHeight="1">
      <c r="A19" s="69"/>
      <c r="B19" s="6"/>
      <c r="C19" s="6"/>
      <c r="D19" s="76"/>
    </row>
    <row r="20" spans="1:4" ht="12.75" customHeight="1">
      <c r="A20" s="69">
        <f>IF(B20="","","6")</f>
      </c>
      <c r="B20" s="6">
        <f>IF('Item 6'!$B$6:$E$6="","",'Item 6'!$B$6:$E$6)</f>
      </c>
      <c r="C20" s="6"/>
      <c r="D20" s="76">
        <f>IF(SUM('Item 6'!$G$11:$G$38)=0,"",SUM('Item 6'!$G$11:$G$38))</f>
      </c>
    </row>
    <row r="21" spans="1:4" ht="6" customHeight="1">
      <c r="A21" s="69"/>
      <c r="B21" s="6"/>
      <c r="C21" s="6"/>
      <c r="D21" s="76"/>
    </row>
    <row r="22" spans="1:4" ht="12.75">
      <c r="A22" s="69">
        <f>IF(B22="","","7")</f>
      </c>
      <c r="B22" s="6">
        <f>IF('Item 7'!$B$6:$E$6="","",'Item 7'!$B$6:$E$6)</f>
      </c>
      <c r="C22" s="6"/>
      <c r="D22" s="76">
        <f>IF(SUM('Item 7'!$G$11:$G$38)=0,"",SUM('Item 7'!$G$11:$G$38))</f>
      </c>
    </row>
    <row r="23" spans="1:4" ht="6" customHeight="1">
      <c r="A23" s="69"/>
      <c r="B23" s="6"/>
      <c r="C23" s="6"/>
      <c r="D23" s="76"/>
    </row>
    <row r="24" spans="1:4" ht="12.75">
      <c r="A24" s="69">
        <f>IF(B24="","","8")</f>
      </c>
      <c r="B24" s="6">
        <f>IF('Item 8'!$B$6:$E$6="","",'Item 8'!$B$6:$E$6)</f>
      </c>
      <c r="C24" s="6"/>
      <c r="D24" s="76">
        <f>IF(SUM('Item 8'!$G$11:$G$38)=0,"",SUM('Item 8'!$G$11:$G$38))</f>
      </c>
    </row>
    <row r="25" spans="1:4" ht="6" customHeight="1">
      <c r="A25" s="69"/>
      <c r="B25" s="6"/>
      <c r="C25" s="6"/>
      <c r="D25" s="76"/>
    </row>
    <row r="26" spans="1:4" ht="12.75">
      <c r="A26" s="69">
        <f>IF(B26="","","9")</f>
      </c>
      <c r="B26" s="6">
        <f>IF('Item 9'!$B$6:$E$6="","",'Item 9'!$B$6:$E$6)</f>
      </c>
      <c r="C26" s="6"/>
      <c r="D26" s="76">
        <f>IF(SUM('Item 9'!$G$11:$G$38)=0,"",SUM('Item 9'!$G$11:$G$38))</f>
      </c>
    </row>
    <row r="27" spans="1:4" ht="6" customHeight="1">
      <c r="A27" s="69"/>
      <c r="B27" s="6"/>
      <c r="C27" s="6"/>
      <c r="D27" s="76"/>
    </row>
    <row r="28" spans="1:4" ht="12.75">
      <c r="A28" s="69">
        <f>IF(B28="","","10")</f>
      </c>
      <c r="B28" s="6">
        <f>IF('Item 10'!$B$6:$E$6="","",'Item 10'!$B$6:$E$6)</f>
      </c>
      <c r="C28" s="6"/>
      <c r="D28" s="76">
        <f>IF(SUM('Item 10'!$G$11:$G$38)=0,"",SUM('Item 10'!$G$11:$G$38))</f>
      </c>
    </row>
    <row r="29" ht="6" customHeight="1">
      <c r="D29" s="76"/>
    </row>
    <row r="30" spans="1:4" ht="12.75">
      <c r="A30" s="69">
        <f>IF(B30="","","11")</f>
      </c>
      <c r="B30" s="6">
        <f>IF('Item 11'!$B$6:$E$6="","",'Item 11'!$B$6:$E$6)</f>
      </c>
      <c r="C30" s="6"/>
      <c r="D30" s="76">
        <f>IF(SUM('Item 11'!$G$11:$G$38)=0,"",SUM('Item 11'!$G$11:$G$38))</f>
      </c>
    </row>
    <row r="31" spans="1:4" ht="6" customHeight="1">
      <c r="A31" s="69"/>
      <c r="B31" s="6"/>
      <c r="C31" s="6"/>
      <c r="D31" s="76"/>
    </row>
    <row r="32" spans="1:4" ht="12.75">
      <c r="A32" s="69">
        <f>IF(B32="","","12")</f>
      </c>
      <c r="B32" s="6">
        <f>IF('Item 12'!$B$6:$E$6="","",'Item 12'!$B$6:$E$6)</f>
      </c>
      <c r="C32" s="6"/>
      <c r="D32" s="76">
        <f>IF(SUM('Item 12'!$G$11:$G$38)=0,"",SUM('Item 12'!$G$11:$G$38))</f>
      </c>
    </row>
    <row r="33" ht="6" customHeight="1">
      <c r="D33" s="76"/>
    </row>
    <row r="34" spans="1:4" ht="12.75">
      <c r="A34" s="69">
        <f>IF(B34="","","13")</f>
      </c>
      <c r="B34" s="6">
        <f>IF('Item 13'!$B$6:$E$6="","",'Item 13'!$B$6:$E$6)</f>
      </c>
      <c r="C34" s="6"/>
      <c r="D34" s="76">
        <f>IF(SUM('Item 13'!$G$11:$G$38)=0,"",SUM('Item 13'!$G$11:$G$38))</f>
      </c>
    </row>
    <row r="35" spans="1:4" ht="6" customHeight="1">
      <c r="A35" s="69"/>
      <c r="B35" s="6"/>
      <c r="C35" s="6"/>
      <c r="D35" s="76"/>
    </row>
    <row r="36" spans="1:4" ht="12.75">
      <c r="A36" s="69">
        <f>IF(B36="","","14")</f>
      </c>
      <c r="B36" s="6">
        <f>IF('Item 14'!$B$6:$E$6="","",'Item 14'!$B$6:$E$6)</f>
      </c>
      <c r="C36" s="6"/>
      <c r="D36" s="76">
        <f>IF(SUM('Item 14'!$G$11:$G$38)=0,"",SUM('Item 14'!$G$11:$G$38))</f>
      </c>
    </row>
    <row r="37" spans="1:4" ht="6" customHeight="1">
      <c r="A37" s="69"/>
      <c r="B37" s="6"/>
      <c r="C37" s="6"/>
      <c r="D37" s="76"/>
    </row>
    <row r="38" spans="1:4" ht="12.75">
      <c r="A38" s="69">
        <f>IF(B38="","","15")</f>
      </c>
      <c r="B38" s="6">
        <f>IF('Item 15'!$B$6:$E$6="","",'Item 15'!$B$6:$E$6)</f>
      </c>
      <c r="C38" s="6"/>
      <c r="D38" s="76">
        <f>IF(SUM('Item 15'!$G$11:$G$38)=0,"",SUM('Item 15'!$G$11:$G$38))</f>
      </c>
    </row>
    <row r="39" spans="1:4" ht="6" customHeight="1">
      <c r="A39" s="69"/>
      <c r="B39" s="6"/>
      <c r="C39" s="6"/>
      <c r="D39" s="76"/>
    </row>
    <row r="40" spans="1:4" ht="12.75">
      <c r="A40" s="69">
        <f>IF(B40="","","16")</f>
      </c>
      <c r="B40" s="6">
        <f>IF('Item 16'!$B$6:$E$6="","",'Item 16'!$B$6:$E$6)</f>
      </c>
      <c r="C40" s="6"/>
      <c r="D40" s="76">
        <f>IF(SUM('Item 16'!$G$11:$G$38)=0,"",SUM('Item 16'!$G$11:$G$38))</f>
      </c>
    </row>
    <row r="41" ht="6" customHeight="1">
      <c r="D41" s="76"/>
    </row>
    <row r="42" spans="1:4" ht="12.75">
      <c r="A42" s="69">
        <f>IF(B42="","","17")</f>
      </c>
      <c r="B42" s="6">
        <f>IF('Item 17'!$B$6:$E$6="","",'Item 17'!$B$6:$E$6)</f>
      </c>
      <c r="C42" s="6"/>
      <c r="D42" s="76">
        <f>IF(SUM('Item 17'!$G$11:$G$38)=0,"",SUM('Item 17'!$G$11:$G$38))</f>
      </c>
    </row>
    <row r="43" spans="1:4" ht="6" customHeight="1">
      <c r="A43" s="69"/>
      <c r="B43" s="6"/>
      <c r="C43" s="6"/>
      <c r="D43" s="76"/>
    </row>
    <row r="44" spans="1:4" ht="12.75">
      <c r="A44" s="69">
        <f>IF(B44="","","18")</f>
      </c>
      <c r="B44" s="6">
        <f>IF('Item 18'!$B$6:$E$6="","",'Item 18'!$B$6:$E$6)</f>
      </c>
      <c r="C44" s="6"/>
      <c r="D44" s="76">
        <f>IF(SUM('Item 18'!$G$11:$G$38)=0,"",SUM('Item 18'!$G$11:$G$38))</f>
      </c>
    </row>
    <row r="45" ht="6" customHeight="1">
      <c r="D45" s="76"/>
    </row>
    <row r="46" spans="1:4" ht="12.75">
      <c r="A46" s="69">
        <f>IF(B46="","","19")</f>
      </c>
      <c r="B46" s="6">
        <f>IF('Item 19'!$B$6:$E$6="","",'Item 19'!$B$6:$E$6)</f>
      </c>
      <c r="C46" s="6"/>
      <c r="D46" s="76">
        <f>IF(SUM('Item 19'!$G$11:$G$38)=0,"",SUM('Item 19'!$G$11:$G$38))</f>
      </c>
    </row>
    <row r="47" spans="1:4" ht="6" customHeight="1">
      <c r="A47" s="69"/>
      <c r="B47" s="6"/>
      <c r="C47" s="6"/>
      <c r="D47" s="76"/>
    </row>
    <row r="48" spans="1:4" ht="12.75">
      <c r="A48" s="69">
        <f>IF(B48="","","20")</f>
      </c>
      <c r="B48" s="6">
        <f>IF('Item 20'!$B$6:$E$6="","",'Item 20'!$B$6:$E$6)</f>
      </c>
      <c r="C48" s="6"/>
      <c r="D48" s="76">
        <f>IF(SUM('Item 20'!$G$11:$G$38)=0,"",SUM('Item 20'!$G$11:$G$38))</f>
      </c>
    </row>
    <row r="50" spans="2:4" ht="12.75">
      <c r="B50" s="84" t="s">
        <v>58</v>
      </c>
      <c r="C50" s="84"/>
      <c r="D50" s="76">
        <f>IF(SUM(D10:D48)=0,"",SUM(D10:D48))</f>
      </c>
    </row>
    <row r="51" ht="12.75">
      <c r="D51" s="77"/>
    </row>
    <row r="53" spans="1:4" ht="15.75">
      <c r="A53" s="83" t="s">
        <v>70</v>
      </c>
      <c r="B53" s="83"/>
      <c r="C53" s="83"/>
      <c r="D53" s="83"/>
    </row>
  </sheetData>
  <sheetProtection password="BF11" sheet="1" selectLockedCells="1"/>
  <mergeCells count="7">
    <mergeCell ref="A53:D53"/>
    <mergeCell ref="B50:C50"/>
    <mergeCell ref="A1:E1"/>
    <mergeCell ref="C7:E7"/>
    <mergeCell ref="C8:E8"/>
    <mergeCell ref="C3:E3"/>
    <mergeCell ref="C5:E5"/>
  </mergeCells>
  <printOptions/>
  <pageMargins left="0.75" right="0.61" top="1" bottom="1" header="0.5" footer="0.5"/>
  <pageSetup fitToHeight="1" fitToWidth="1"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"/>
  <sheetViews>
    <sheetView showGridLines="0" showRowColHeaders="0" zoomScalePageLayoutView="0" workbookViewId="0" topLeftCell="A1">
      <selection activeCell="B6" sqref="B6:E6"/>
    </sheetView>
  </sheetViews>
  <sheetFormatPr defaultColWidth="9.140625" defaultRowHeight="12.75"/>
  <cols>
    <col min="1" max="1" width="13.00390625" style="0" customWidth="1"/>
    <col min="2" max="2" width="13.28125" style="0" customWidth="1"/>
    <col min="3" max="3" width="9.00390625" style="0" customWidth="1"/>
    <col min="4" max="4" width="9.28125" style="0" customWidth="1"/>
    <col min="5" max="5" width="11.00390625" style="1" customWidth="1"/>
    <col min="6" max="6" width="10.57421875" style="0" customWidth="1"/>
    <col min="7" max="8" width="16.00390625" style="0" bestFit="1" customWidth="1"/>
    <col min="11" max="11" width="3.57421875" style="0" customWidth="1"/>
    <col min="12" max="12" width="47.00390625" style="0" hidden="1" customWidth="1"/>
    <col min="13" max="13" width="8.28125" style="0" hidden="1" customWidth="1"/>
    <col min="14" max="14" width="7.140625" style="0" customWidth="1"/>
    <col min="15" max="16" width="9.140625" style="0" customWidth="1"/>
  </cols>
  <sheetData>
    <row r="1" spans="1:16" ht="15">
      <c r="A1" s="8"/>
      <c r="B1" s="8"/>
      <c r="C1" s="9" t="s">
        <v>67</v>
      </c>
      <c r="D1" s="8"/>
      <c r="E1" s="10"/>
      <c r="F1" s="8"/>
      <c r="G1" s="8"/>
      <c r="H1" s="8"/>
      <c r="I1" s="52"/>
      <c r="J1" s="52"/>
      <c r="K1" s="50"/>
      <c r="L1" s="50"/>
      <c r="M1" s="50"/>
      <c r="N1" s="50"/>
      <c r="O1" s="50"/>
      <c r="P1" s="50"/>
    </row>
    <row r="2" spans="1:16" ht="17.25" customHeight="1">
      <c r="A2" s="8"/>
      <c r="B2" s="8"/>
      <c r="C2" s="8"/>
      <c r="D2" s="8"/>
      <c r="E2" s="10"/>
      <c r="F2" s="8"/>
      <c r="G2" s="8"/>
      <c r="H2" s="8"/>
      <c r="I2" s="52"/>
      <c r="J2" s="52"/>
      <c r="K2" s="50"/>
      <c r="L2" s="50"/>
      <c r="M2" s="50"/>
      <c r="N2" s="50"/>
      <c r="O2" s="50"/>
      <c r="P2" s="50"/>
    </row>
    <row r="3" spans="1:16" ht="21" customHeight="1">
      <c r="A3" s="11"/>
      <c r="B3" s="12"/>
      <c r="C3" s="11"/>
      <c r="D3" s="11"/>
      <c r="E3" s="63" t="s">
        <v>42</v>
      </c>
      <c r="F3" s="97">
        <f>IF('Item 1'!F3:H3="","",'Item 1'!F3:H3)</f>
      </c>
      <c r="G3" s="97"/>
      <c r="H3" s="97"/>
      <c r="I3" s="53"/>
      <c r="J3" s="53"/>
      <c r="K3" s="50"/>
      <c r="L3" s="50"/>
      <c r="M3" s="50"/>
      <c r="N3" s="50"/>
      <c r="O3" s="50"/>
      <c r="P3" s="50"/>
    </row>
    <row r="4" spans="1:16" ht="21" customHeight="1">
      <c r="A4" s="13" t="s">
        <v>43</v>
      </c>
      <c r="B4" s="82">
        <f>IF('Item 1'!B4="","",'Item 1'!B4)</f>
      </c>
      <c r="C4" s="38"/>
      <c r="D4" s="11"/>
      <c r="E4" s="64" t="s">
        <v>41</v>
      </c>
      <c r="F4" s="98">
        <f>IF('Item 1'!F4:H4="","",'Item 1'!F4:H4)</f>
      </c>
      <c r="G4" s="99"/>
      <c r="H4" s="100"/>
      <c r="I4" s="53"/>
      <c r="J4" s="53"/>
      <c r="K4" s="50"/>
      <c r="L4" s="57"/>
      <c r="M4" s="50"/>
      <c r="N4" s="50"/>
      <c r="O4" s="50"/>
      <c r="P4" s="50"/>
    </row>
    <row r="5" spans="1:16" ht="21" customHeight="1">
      <c r="A5" s="79" t="s">
        <v>44</v>
      </c>
      <c r="B5" s="15"/>
      <c r="C5" s="81">
        <f>IF('Item 1'!C5="","",'Item 1'!C5)</f>
      </c>
      <c r="D5" s="95" t="s">
        <v>46</v>
      </c>
      <c r="E5" s="96"/>
      <c r="F5" s="80">
        <f>IF('Item 1'!F5="","",'Item 1'!F5)</f>
      </c>
      <c r="G5" s="65" t="s">
        <v>45</v>
      </c>
      <c r="H5" s="60">
        <f>IF(B6="","",VLOOKUP(B6,L7:M50,2,FALSE))</f>
      </c>
      <c r="I5" s="53"/>
      <c r="J5" s="53"/>
      <c r="K5" s="4"/>
      <c r="L5" s="56"/>
      <c r="N5" s="4"/>
      <c r="O5" s="50"/>
      <c r="P5" s="50"/>
    </row>
    <row r="6" spans="1:16" ht="21" customHeight="1">
      <c r="A6" s="79" t="s">
        <v>20</v>
      </c>
      <c r="B6" s="88"/>
      <c r="C6" s="89"/>
      <c r="D6" s="89"/>
      <c r="E6" s="90"/>
      <c r="F6" s="58"/>
      <c r="H6" s="59"/>
      <c r="I6" s="53"/>
      <c r="J6" s="53"/>
      <c r="K6" s="4"/>
      <c r="L6" s="4" t="s">
        <v>21</v>
      </c>
      <c r="M6" s="4" t="s">
        <v>37</v>
      </c>
      <c r="O6" s="50"/>
      <c r="P6" s="4"/>
    </row>
    <row r="7" spans="1:16" ht="12.75">
      <c r="A7" s="11"/>
      <c r="B7" s="11"/>
      <c r="C7" s="17"/>
      <c r="D7" s="11"/>
      <c r="E7" s="7"/>
      <c r="F7" s="11"/>
      <c r="G7" s="11"/>
      <c r="H7" s="11"/>
      <c r="I7" s="53"/>
      <c r="J7" s="53"/>
      <c r="K7" s="4"/>
      <c r="L7" s="4" t="s">
        <v>22</v>
      </c>
      <c r="M7" s="5">
        <f>IF($F$5="M",0.33,0.25)</f>
        <v>0.25</v>
      </c>
      <c r="O7" s="50"/>
      <c r="P7" s="5"/>
    </row>
    <row r="8" spans="1:16" ht="12.75">
      <c r="A8" s="18" t="s">
        <v>0</v>
      </c>
      <c r="B8" s="18" t="s">
        <v>18</v>
      </c>
      <c r="C8" s="19" t="s">
        <v>2</v>
      </c>
      <c r="D8" s="18" t="s">
        <v>5</v>
      </c>
      <c r="E8" s="20" t="s">
        <v>8</v>
      </c>
      <c r="F8" s="18" t="s">
        <v>10</v>
      </c>
      <c r="G8" s="18" t="s">
        <v>13</v>
      </c>
      <c r="H8" s="18" t="s">
        <v>8</v>
      </c>
      <c r="I8" s="54"/>
      <c r="J8" s="54"/>
      <c r="K8" s="4"/>
      <c r="L8" s="4" t="s">
        <v>61</v>
      </c>
      <c r="M8" s="5">
        <f>IF($F$5="M",0.33,0.25)</f>
        <v>0.25</v>
      </c>
      <c r="O8" s="50"/>
      <c r="P8" s="5"/>
    </row>
    <row r="9" spans="1:16" ht="12.75">
      <c r="A9" s="21"/>
      <c r="B9" s="22" t="s">
        <v>16</v>
      </c>
      <c r="C9" s="22" t="s">
        <v>3</v>
      </c>
      <c r="D9" s="22" t="s">
        <v>6</v>
      </c>
      <c r="E9" s="23"/>
      <c r="F9" s="22" t="s">
        <v>11</v>
      </c>
      <c r="G9" s="22" t="s">
        <v>14</v>
      </c>
      <c r="H9" s="22" t="s">
        <v>9</v>
      </c>
      <c r="I9" s="54"/>
      <c r="J9" s="54"/>
      <c r="K9" s="4"/>
      <c r="L9" s="4" t="s">
        <v>19</v>
      </c>
      <c r="M9" s="5">
        <f>IF($F$5="M",0.43,0.33)</f>
        <v>0.33</v>
      </c>
      <c r="O9" s="50"/>
      <c r="P9" s="5"/>
    </row>
    <row r="10" spans="1:16" ht="12.75">
      <c r="A10" s="24" t="s">
        <v>1</v>
      </c>
      <c r="B10" s="24" t="s">
        <v>17</v>
      </c>
      <c r="C10" s="24" t="s">
        <v>4</v>
      </c>
      <c r="D10" s="24" t="s">
        <v>7</v>
      </c>
      <c r="E10" s="25" t="s">
        <v>9</v>
      </c>
      <c r="F10" s="24" t="s">
        <v>12</v>
      </c>
      <c r="G10" s="24" t="s">
        <v>15</v>
      </c>
      <c r="H10" s="24" t="s">
        <v>15</v>
      </c>
      <c r="I10" s="54"/>
      <c r="J10" s="54"/>
      <c r="K10" s="4"/>
      <c r="L10" s="4" t="s">
        <v>62</v>
      </c>
      <c r="M10" s="5">
        <f>IF($F$5="M",0.43,0.33)</f>
        <v>0.33</v>
      </c>
      <c r="O10" s="50"/>
      <c r="P10" s="5"/>
    </row>
    <row r="11" spans="1:16" ht="22.5" customHeight="1">
      <c r="A11" s="26"/>
      <c r="B11" s="27"/>
      <c r="C11" s="61">
        <f>IF(H5="","",ABS($H$5))</f>
      </c>
      <c r="D11" s="28"/>
      <c r="E11" s="29">
        <f>IF(D11="","",+D11)</f>
      </c>
      <c r="F11" s="30">
        <f>+IF(B11="","",(B11-$C$5))</f>
      </c>
      <c r="G11" s="62">
        <f>IF(C11="","",IF(F11="","",+C11*D11*F11))</f>
      </c>
      <c r="H11" s="62">
        <f>+G11</f>
      </c>
      <c r="I11" s="54"/>
      <c r="J11" s="54"/>
      <c r="K11" s="4"/>
      <c r="L11" s="4" t="s">
        <v>24</v>
      </c>
      <c r="M11" s="5">
        <f>IF($F$5="M",0.38,0.29)</f>
        <v>0.29</v>
      </c>
      <c r="O11" s="50"/>
      <c r="P11" s="5"/>
    </row>
    <row r="12" spans="1:16" ht="22.5" customHeight="1">
      <c r="A12" s="26"/>
      <c r="B12" s="31"/>
      <c r="C12" s="61">
        <f>IF(B12="","",ABS($H$5))</f>
      </c>
      <c r="D12" s="16"/>
      <c r="E12" s="29">
        <f>IF(D12="","",+D12+E11)</f>
      </c>
      <c r="F12" s="30">
        <f aca="true" t="shared" si="0" ref="F12:F38">+IF(B12="","",(B12-$C$5))</f>
      </c>
      <c r="G12" s="62">
        <f>IF(C12="","",IF(F12="","",+C12*D12*F12))</f>
      </c>
      <c r="H12" s="62">
        <f>IF(G12="","",+H11+G12)</f>
      </c>
      <c r="I12" s="55"/>
      <c r="J12" s="55"/>
      <c r="K12" s="4"/>
      <c r="L12" s="4" t="s">
        <v>25</v>
      </c>
      <c r="M12" s="5">
        <f>IF($F$5="M",0.39,0.3)</f>
        <v>0.3</v>
      </c>
      <c r="O12" s="50"/>
      <c r="P12" s="5"/>
    </row>
    <row r="13" spans="1:16" ht="22.5" customHeight="1">
      <c r="A13" s="26"/>
      <c r="B13" s="31"/>
      <c r="C13" s="61">
        <f aca="true" t="shared" si="1" ref="C13:C38">IF(B13="","",ABS($H$5))</f>
      </c>
      <c r="D13" s="16"/>
      <c r="E13" s="29">
        <f aca="true" t="shared" si="2" ref="E13:E38">IF(D13="","",+D13+E12)</f>
      </c>
      <c r="F13" s="30">
        <f t="shared" si="0"/>
      </c>
      <c r="G13" s="62">
        <f>IF(C13="","",IF(F13="","",+C13*D13*F13))</f>
      </c>
      <c r="H13" s="62">
        <f aca="true" t="shared" si="3" ref="H13:H38">IF(G13="","",+H12+G13)</f>
      </c>
      <c r="I13" s="55"/>
      <c r="J13" s="55"/>
      <c r="K13" s="4"/>
      <c r="L13" s="4" t="s">
        <v>63</v>
      </c>
      <c r="M13" s="5">
        <f>IF($F$5="M",0.36,0.3)</f>
        <v>0.3</v>
      </c>
      <c r="O13" s="50"/>
      <c r="P13" s="5"/>
    </row>
    <row r="14" spans="1:16" ht="22.5" customHeight="1">
      <c r="A14" s="26"/>
      <c r="B14" s="31"/>
      <c r="C14" s="61">
        <f t="shared" si="1"/>
      </c>
      <c r="D14" s="16"/>
      <c r="E14" s="29">
        <f t="shared" si="2"/>
      </c>
      <c r="F14" s="30">
        <f t="shared" si="0"/>
      </c>
      <c r="G14" s="62">
        <f>IF(C14="","",IF(F14="","",+C14*D14*F14))</f>
      </c>
      <c r="H14" s="62">
        <f t="shared" si="3"/>
      </c>
      <c r="I14" s="55"/>
      <c r="J14" s="55"/>
      <c r="K14" s="66"/>
      <c r="L14" s="4" t="str">
        <f>IF($F$5="M","Concrete Placement:  75mm","Concrete Placement:  3 inches")</f>
        <v>Concrete Placement:  3 inches</v>
      </c>
      <c r="M14" s="5">
        <f>IF($F$5="M",0.36,0.3)</f>
        <v>0.3</v>
      </c>
      <c r="O14" s="50"/>
      <c r="P14" s="67"/>
    </row>
    <row r="15" spans="1:16" ht="22.5" customHeight="1">
      <c r="A15" s="26"/>
      <c r="B15" s="31"/>
      <c r="C15" s="61">
        <f t="shared" si="1"/>
      </c>
      <c r="D15" s="16"/>
      <c r="E15" s="29">
        <f t="shared" si="2"/>
      </c>
      <c r="F15" s="30">
        <f t="shared" si="0"/>
      </c>
      <c r="G15" s="62">
        <f>IF(C15="","",IF(F15="","",+C15*D15*F15))</f>
      </c>
      <c r="H15" s="62">
        <f t="shared" si="3"/>
      </c>
      <c r="I15" s="55"/>
      <c r="J15" s="55"/>
      <c r="K15" s="66"/>
      <c r="L15" s="4" t="str">
        <f>IF($F$5="M","","Concrete Placement:  3.5 inches")</f>
        <v>Concrete Placement:  3.5 inches</v>
      </c>
      <c r="M15" s="5">
        <f>IF($F$5="M",0.39,0.33)</f>
        <v>0.33</v>
      </c>
      <c r="O15" s="50"/>
      <c r="P15" s="67"/>
    </row>
    <row r="16" spans="1:16" ht="22.5" customHeight="1">
      <c r="A16" s="26"/>
      <c r="B16" s="31"/>
      <c r="C16" s="61">
        <f t="shared" si="1"/>
      </c>
      <c r="D16" s="16"/>
      <c r="E16" s="29">
        <f t="shared" si="2"/>
      </c>
      <c r="F16" s="30">
        <f t="shared" si="0"/>
      </c>
      <c r="G16" s="62">
        <f aca="true" t="shared" si="4" ref="G16:G38">IF(F16="","",+C16*D16*F16)</f>
      </c>
      <c r="H16" s="62">
        <f t="shared" si="3"/>
      </c>
      <c r="I16" s="55"/>
      <c r="J16" s="55"/>
      <c r="K16" s="4"/>
      <c r="L16" s="4" t="str">
        <f>IF($F$5="M","Concrete Placement:  100mm","Concrete Placement:  4 inches")</f>
        <v>Concrete Placement:  4 inches</v>
      </c>
      <c r="M16" s="5">
        <f>IF($F$5="M",0.43,0.36)</f>
        <v>0.36</v>
      </c>
      <c r="O16" s="50"/>
      <c r="P16" s="5"/>
    </row>
    <row r="17" spans="1:16" ht="22.5" customHeight="1">
      <c r="A17" s="26"/>
      <c r="B17" s="31"/>
      <c r="C17" s="61">
        <f t="shared" si="1"/>
      </c>
      <c r="D17" s="16"/>
      <c r="E17" s="29">
        <f t="shared" si="2"/>
      </c>
      <c r="F17" s="30">
        <f t="shared" si="0"/>
      </c>
      <c r="G17" s="62">
        <f t="shared" si="4"/>
      </c>
      <c r="H17" s="62">
        <f t="shared" si="3"/>
      </c>
      <c r="I17" s="55"/>
      <c r="J17" s="55"/>
      <c r="K17" s="66"/>
      <c r="L17" s="4" t="str">
        <f>IF($F$5="M","","Concrete Placement:  4.5 inches")</f>
        <v>Concrete Placement:  4.5 inches</v>
      </c>
      <c r="M17" s="5">
        <f>IF($F$5="M",0.46,0.39)</f>
        <v>0.39</v>
      </c>
      <c r="O17" s="50"/>
      <c r="P17" s="67"/>
    </row>
    <row r="18" spans="1:16" ht="22.5" customHeight="1">
      <c r="A18" s="26"/>
      <c r="B18" s="31"/>
      <c r="C18" s="61">
        <f t="shared" si="1"/>
      </c>
      <c r="D18" s="16"/>
      <c r="E18" s="29">
        <f t="shared" si="2"/>
      </c>
      <c r="F18" s="30">
        <f t="shared" si="0"/>
      </c>
      <c r="G18" s="62">
        <f t="shared" si="4"/>
      </c>
      <c r="H18" s="62">
        <f t="shared" si="3"/>
      </c>
      <c r="I18" s="55"/>
      <c r="J18" s="55"/>
      <c r="K18" s="4"/>
      <c r="L18" s="4" t="str">
        <f>IF($F$5="M","Concrete Placement:  140mm","Concrete Placement:  5 inches")</f>
        <v>Concrete Placement:  5 inches</v>
      </c>
      <c r="M18" s="5">
        <f>IF($F$5="M",0.5,0.42)</f>
        <v>0.42</v>
      </c>
      <c r="O18" s="50"/>
      <c r="P18" s="5"/>
    </row>
    <row r="19" spans="1:16" ht="22.5" customHeight="1">
      <c r="A19" s="26"/>
      <c r="B19" s="31"/>
      <c r="C19" s="61">
        <f t="shared" si="1"/>
      </c>
      <c r="D19" s="16"/>
      <c r="E19" s="29">
        <f t="shared" si="2"/>
      </c>
      <c r="F19" s="30">
        <f t="shared" si="0"/>
      </c>
      <c r="G19" s="62">
        <f t="shared" si="4"/>
      </c>
      <c r="H19" s="62">
        <f t="shared" si="3"/>
      </c>
      <c r="I19" s="55"/>
      <c r="J19" s="55"/>
      <c r="K19" s="66"/>
      <c r="L19" s="4" t="str">
        <f>IF($F$5="M","","Concrete Placement:  5.5 inches")</f>
        <v>Concrete Placement:  5.5 inches</v>
      </c>
      <c r="M19" s="5">
        <f>IF($F$5="M",0.53,0.45)</f>
        <v>0.45</v>
      </c>
      <c r="O19" s="50"/>
      <c r="P19" s="67"/>
    </row>
    <row r="20" spans="1:16" ht="21" customHeight="1">
      <c r="A20" s="26"/>
      <c r="B20" s="31"/>
      <c r="C20" s="61">
        <f t="shared" si="1"/>
      </c>
      <c r="D20" s="16"/>
      <c r="E20" s="29">
        <f t="shared" si="2"/>
      </c>
      <c r="F20" s="30">
        <f t="shared" si="0"/>
      </c>
      <c r="G20" s="62">
        <f t="shared" si="4"/>
      </c>
      <c r="H20" s="62">
        <f t="shared" si="3"/>
      </c>
      <c r="I20" s="55"/>
      <c r="J20" s="55"/>
      <c r="K20" s="4"/>
      <c r="L20" s="4" t="str">
        <f>IF($F$5="M","Concrete Placement:  160mm","Concrete Placement:  6 inches")</f>
        <v>Concrete Placement:  6 inches</v>
      </c>
      <c r="M20" s="5">
        <f>IF($F$5="M",0.57,0.48)</f>
        <v>0.48</v>
      </c>
      <c r="O20" s="50"/>
      <c r="P20" s="5"/>
    </row>
    <row r="21" spans="1:16" ht="21" customHeight="1">
      <c r="A21" s="26"/>
      <c r="B21" s="31"/>
      <c r="C21" s="61">
        <f t="shared" si="1"/>
      </c>
      <c r="D21" s="16"/>
      <c r="E21" s="29">
        <f t="shared" si="2"/>
      </c>
      <c r="F21" s="30">
        <f t="shared" si="0"/>
      </c>
      <c r="G21" s="62">
        <f t="shared" si="4"/>
      </c>
      <c r="H21" s="62">
        <f t="shared" si="3"/>
      </c>
      <c r="I21" s="55"/>
      <c r="J21" s="55"/>
      <c r="K21" s="66"/>
      <c r="L21" s="4" t="str">
        <f>IF($F$5="M","Bonded Concrete Pavement (75mm)","Bonded Concrete Pavement (3 inches)")</f>
        <v>Bonded Concrete Pavement (3 inches)</v>
      </c>
      <c r="M21" s="5">
        <f>IF($F$5="M",0.36,0.3)</f>
        <v>0.3</v>
      </c>
      <c r="O21" s="50"/>
      <c r="P21" s="67"/>
    </row>
    <row r="22" spans="1:16" ht="21" customHeight="1">
      <c r="A22" s="26"/>
      <c r="B22" s="31"/>
      <c r="C22" s="61">
        <f t="shared" si="1"/>
      </c>
      <c r="D22" s="16"/>
      <c r="E22" s="29">
        <f t="shared" si="2"/>
      </c>
      <c r="F22" s="30">
        <f t="shared" si="0"/>
      </c>
      <c r="G22" s="62">
        <f t="shared" si="4"/>
      </c>
      <c r="H22" s="62">
        <f t="shared" si="3"/>
      </c>
      <c r="I22" s="55"/>
      <c r="J22" s="55"/>
      <c r="K22" s="4"/>
      <c r="L22" s="4" t="str">
        <f>IF($F$5="M","","Bonded Concrete Pavement (3.5 inches)")</f>
        <v>Bonded Concrete Pavement (3.5 inches)</v>
      </c>
      <c r="M22" s="5">
        <f>IF($F$5="M",0.39,0.33)</f>
        <v>0.33</v>
      </c>
      <c r="O22" s="50"/>
      <c r="P22" s="5"/>
    </row>
    <row r="23" spans="1:16" ht="22.5" customHeight="1">
      <c r="A23" s="26"/>
      <c r="B23" s="31"/>
      <c r="C23" s="61">
        <f t="shared" si="1"/>
      </c>
      <c r="D23" s="16"/>
      <c r="E23" s="29">
        <f t="shared" si="2"/>
      </c>
      <c r="F23" s="30">
        <f t="shared" si="0"/>
      </c>
      <c r="G23" s="62">
        <f t="shared" si="4"/>
      </c>
      <c r="H23" s="62">
        <f t="shared" si="3"/>
      </c>
      <c r="I23" s="55"/>
      <c r="J23" s="55"/>
      <c r="K23" s="66"/>
      <c r="L23" s="4" t="str">
        <f>IF($F$5="M","Bonded Concrete Pavement (100mm)","Bonded Concrete Pavement (4 inches)")</f>
        <v>Bonded Concrete Pavement (4 inches)</v>
      </c>
      <c r="M23" s="5">
        <f>IF($F$5="M",0.43,0.36)</f>
        <v>0.36</v>
      </c>
      <c r="O23" s="50"/>
      <c r="P23" s="67"/>
    </row>
    <row r="24" spans="1:16" ht="22.5" customHeight="1">
      <c r="A24" s="26"/>
      <c r="B24" s="31"/>
      <c r="C24" s="61">
        <f t="shared" si="1"/>
      </c>
      <c r="D24" s="16"/>
      <c r="E24" s="29">
        <f t="shared" si="2"/>
      </c>
      <c r="F24" s="30">
        <f t="shared" si="0"/>
      </c>
      <c r="G24" s="62">
        <f t="shared" si="4"/>
      </c>
      <c r="H24" s="62">
        <f t="shared" si="3"/>
      </c>
      <c r="I24" s="55"/>
      <c r="J24" s="55"/>
      <c r="K24" s="4"/>
      <c r="L24" s="4" t="str">
        <f>IF($F$5="M","","Bonded Concrete Pavement (4.5 inches)")</f>
        <v>Bonded Concrete Pavement (4.5 inches)</v>
      </c>
      <c r="M24" s="5">
        <f>IF($F$5="M",0.46,0.39)</f>
        <v>0.39</v>
      </c>
      <c r="O24" s="50"/>
      <c r="P24" s="5"/>
    </row>
    <row r="25" spans="1:16" ht="22.5" customHeight="1">
      <c r="A25" s="26"/>
      <c r="B25" s="31"/>
      <c r="C25" s="61">
        <f t="shared" si="1"/>
      </c>
      <c r="D25" s="16"/>
      <c r="E25" s="29">
        <f t="shared" si="2"/>
      </c>
      <c r="F25" s="30">
        <f t="shared" si="0"/>
      </c>
      <c r="G25" s="62">
        <f t="shared" si="4"/>
      </c>
      <c r="H25" s="62">
        <f t="shared" si="3"/>
      </c>
      <c r="I25" s="55"/>
      <c r="J25" s="55"/>
      <c r="K25" s="66"/>
      <c r="L25" s="4" t="str">
        <f>IF($F$5="M","Bonded Concrete Pavement (140mm)","Bonded Concrete Pavement (5 inches)")</f>
        <v>Bonded Concrete Pavement (5 inches)</v>
      </c>
      <c r="M25" s="5">
        <f>IF($F$5="M",0.5,0.42)</f>
        <v>0.42</v>
      </c>
      <c r="O25" s="50"/>
      <c r="P25" s="67"/>
    </row>
    <row r="26" spans="1:16" ht="22.5" customHeight="1">
      <c r="A26" s="26"/>
      <c r="B26" s="31"/>
      <c r="C26" s="61">
        <f t="shared" si="1"/>
      </c>
      <c r="D26" s="16"/>
      <c r="E26" s="29">
        <f t="shared" si="2"/>
      </c>
      <c r="F26" s="30">
        <f t="shared" si="0"/>
      </c>
      <c r="G26" s="62">
        <f t="shared" si="4"/>
      </c>
      <c r="H26" s="62">
        <f t="shared" si="3"/>
      </c>
      <c r="I26" s="55"/>
      <c r="J26" s="55"/>
      <c r="K26" s="4"/>
      <c r="L26" s="4" t="str">
        <f>IF($F$5="M","","Bonded Concrete Pavement (5.5 inches)")</f>
        <v>Bonded Concrete Pavement (5.5 inches)</v>
      </c>
      <c r="M26" s="5">
        <f>IF($F$5="M",0.53,0.45)</f>
        <v>0.45</v>
      </c>
      <c r="O26" s="50"/>
      <c r="P26" s="5"/>
    </row>
    <row r="27" spans="1:16" ht="22.5" customHeight="1">
      <c r="A27" s="26"/>
      <c r="B27" s="31"/>
      <c r="C27" s="61">
        <f t="shared" si="1"/>
      </c>
      <c r="D27" s="16"/>
      <c r="E27" s="29">
        <f t="shared" si="2"/>
      </c>
      <c r="F27" s="30">
        <f t="shared" si="0"/>
      </c>
      <c r="G27" s="62">
        <f t="shared" si="4"/>
      </c>
      <c r="H27" s="62">
        <f t="shared" si="3"/>
      </c>
      <c r="I27" s="55"/>
      <c r="J27" s="55"/>
      <c r="K27" s="66"/>
      <c r="L27" s="4" t="str">
        <f>IF($F$5="M","Bonded Concrete Pavement (160mm)","Bonded Concrete Pavement (6 inches)")</f>
        <v>Bonded Concrete Pavement (6 inches)</v>
      </c>
      <c r="M27" s="5">
        <f>IF($F$5="M",0.57,0.48)</f>
        <v>0.48</v>
      </c>
      <c r="O27" s="50"/>
      <c r="P27" s="67"/>
    </row>
    <row r="28" spans="1:16" ht="22.5" customHeight="1">
      <c r="A28" s="26"/>
      <c r="B28" s="31"/>
      <c r="C28" s="61">
        <f t="shared" si="1"/>
      </c>
      <c r="D28" s="16"/>
      <c r="E28" s="29">
        <f t="shared" si="2"/>
      </c>
      <c r="F28" s="30">
        <f t="shared" si="0"/>
      </c>
      <c r="G28" s="62">
        <f t="shared" si="4"/>
      </c>
      <c r="H28" s="62">
        <f t="shared" si="3"/>
      </c>
      <c r="I28" s="55"/>
      <c r="J28" s="55"/>
      <c r="K28" s="4"/>
      <c r="L28" s="4" t="str">
        <f>IF($F$5="M","Concrete Pavement 160 mm","Concrete Pavement 6 inches")</f>
        <v>Concrete Pavement 6 inches</v>
      </c>
      <c r="M28" s="5">
        <f>IF($F$5="M",0.58,0.48)</f>
        <v>0.48</v>
      </c>
      <c r="O28" s="50"/>
      <c r="P28" s="5"/>
    </row>
    <row r="29" spans="1:16" ht="22.5" customHeight="1">
      <c r="A29" s="26"/>
      <c r="B29" s="31"/>
      <c r="C29" s="61">
        <f t="shared" si="1"/>
      </c>
      <c r="D29" s="16"/>
      <c r="E29" s="29">
        <f t="shared" si="2"/>
      </c>
      <c r="F29" s="30">
        <f t="shared" si="0"/>
      </c>
      <c r="G29" s="62">
        <f t="shared" si="4"/>
      </c>
      <c r="H29" s="62">
        <f t="shared" si="3"/>
      </c>
      <c r="I29" s="55"/>
      <c r="J29" s="55"/>
      <c r="K29" s="4"/>
      <c r="L29" s="4" t="str">
        <f>IF($F$5="M","","Concrete Pavement 6.5 inches")</f>
        <v>Concrete Pavement 6.5 inches</v>
      </c>
      <c r="M29" s="5">
        <f>IF($F$5="M",0.61,0.51)</f>
        <v>0.51</v>
      </c>
      <c r="O29" s="50"/>
      <c r="P29" s="5"/>
    </row>
    <row r="30" spans="1:16" ht="22.5" customHeight="1">
      <c r="A30" s="26"/>
      <c r="B30" s="31"/>
      <c r="C30" s="61">
        <f t="shared" si="1"/>
      </c>
      <c r="D30" s="16"/>
      <c r="E30" s="29">
        <f t="shared" si="2"/>
      </c>
      <c r="F30" s="30">
        <f t="shared" si="0"/>
      </c>
      <c r="G30" s="62">
        <f t="shared" si="4"/>
      </c>
      <c r="H30" s="62">
        <f t="shared" si="3"/>
      </c>
      <c r="I30" s="55"/>
      <c r="J30" s="55"/>
      <c r="K30" s="4"/>
      <c r="L30" s="4" t="str">
        <f>IF($F$5="M","Concrete Pavement 180 mm","Concrete Pavement 7 inches")</f>
        <v>Concrete Pavement 7 inches</v>
      </c>
      <c r="M30" s="5">
        <f>IF($F$5="M",0.65,0.54)</f>
        <v>0.54</v>
      </c>
      <c r="O30" s="50"/>
      <c r="P30" s="5"/>
    </row>
    <row r="31" spans="1:16" ht="22.5" customHeight="1">
      <c r="A31" s="26"/>
      <c r="B31" s="31"/>
      <c r="C31" s="61">
        <f t="shared" si="1"/>
      </c>
      <c r="D31" s="16"/>
      <c r="E31" s="29">
        <f t="shared" si="2"/>
      </c>
      <c r="F31" s="30">
        <f t="shared" si="0"/>
      </c>
      <c r="G31" s="62">
        <f t="shared" si="4"/>
      </c>
      <c r="H31" s="62">
        <f t="shared" si="3"/>
      </c>
      <c r="I31" s="55"/>
      <c r="J31" s="55"/>
      <c r="K31" s="4"/>
      <c r="L31" s="4" t="str">
        <f>IF($F$5="M","Concrete Pavement 190 mm","Concrete Pavement 7.5 inches")</f>
        <v>Concrete Pavement 7.5 inches</v>
      </c>
      <c r="M31" s="5">
        <f>IF($F$5="M",0.69,0.57)</f>
        <v>0.57</v>
      </c>
      <c r="O31" s="50"/>
      <c r="P31" s="5"/>
    </row>
    <row r="32" spans="1:16" ht="22.5" customHeight="1">
      <c r="A32" s="26"/>
      <c r="B32" s="31"/>
      <c r="C32" s="61">
        <f t="shared" si="1"/>
      </c>
      <c r="D32" s="16"/>
      <c r="E32" s="29">
        <f t="shared" si="2"/>
      </c>
      <c r="F32" s="30">
        <f t="shared" si="0"/>
      </c>
      <c r="G32" s="62">
        <f t="shared" si="4"/>
      </c>
      <c r="H32" s="62">
        <f t="shared" si="3"/>
      </c>
      <c r="I32" s="55"/>
      <c r="J32" s="55"/>
      <c r="K32" s="4"/>
      <c r="L32" s="4" t="str">
        <f>IF($F$5="M","Concrete Pavement 200 mm","Concrete Pavement 8 inches")</f>
        <v>Concrete Pavement 8 inches</v>
      </c>
      <c r="M32" s="5">
        <f>IF($F$5="M",0.72,0.6)</f>
        <v>0.6</v>
      </c>
      <c r="O32" s="50"/>
      <c r="P32" s="5"/>
    </row>
    <row r="33" spans="1:16" ht="22.5" customHeight="1">
      <c r="A33" s="26"/>
      <c r="B33" s="31"/>
      <c r="C33" s="61">
        <f t="shared" si="1"/>
      </c>
      <c r="D33" s="16"/>
      <c r="E33" s="29">
        <f t="shared" si="2"/>
      </c>
      <c r="F33" s="30">
        <f t="shared" si="0"/>
      </c>
      <c r="G33" s="62">
        <f t="shared" si="4"/>
      </c>
      <c r="H33" s="62">
        <f t="shared" si="3"/>
      </c>
      <c r="I33" s="55"/>
      <c r="J33" s="55"/>
      <c r="K33" s="6"/>
      <c r="L33" s="4" t="str">
        <f>IF($F$5="M","Concrete Pavement 220 mm","Concrete Pavement 8 1/2 inches")</f>
        <v>Concrete Pavement 8 1/2 inches</v>
      </c>
      <c r="M33" s="5">
        <f>IF($F$5="M",0.76,0.63)</f>
        <v>0.63</v>
      </c>
      <c r="N33" s="6"/>
      <c r="O33" s="50"/>
      <c r="P33" s="50"/>
    </row>
    <row r="34" spans="1:16" ht="22.5" customHeight="1">
      <c r="A34" s="26"/>
      <c r="B34" s="31"/>
      <c r="C34" s="61">
        <f t="shared" si="1"/>
      </c>
      <c r="D34" s="16"/>
      <c r="E34" s="29">
        <f t="shared" si="2"/>
      </c>
      <c r="F34" s="30">
        <f t="shared" si="0"/>
      </c>
      <c r="G34" s="62">
        <f t="shared" si="4"/>
      </c>
      <c r="H34" s="62">
        <f t="shared" si="3"/>
      </c>
      <c r="I34" s="55"/>
      <c r="J34" s="55"/>
      <c r="K34" s="7"/>
      <c r="L34" s="4" t="str">
        <f>IF($F$5="M","Concrete Pavement 230 mm","Concrete Pavement 9 inches")</f>
        <v>Concrete Pavement 9 inches</v>
      </c>
      <c r="M34" s="5">
        <f>IF($F$5="M",0.79,0.66)</f>
        <v>0.66</v>
      </c>
      <c r="N34" s="6"/>
      <c r="O34" s="50"/>
      <c r="P34" s="50"/>
    </row>
    <row r="35" spans="1:16" ht="22.5" customHeight="1">
      <c r="A35" s="26"/>
      <c r="B35" s="31"/>
      <c r="C35" s="61">
        <f t="shared" si="1"/>
      </c>
      <c r="D35" s="16"/>
      <c r="E35" s="29">
        <f t="shared" si="2"/>
      </c>
      <c r="F35" s="30">
        <f t="shared" si="0"/>
      </c>
      <c r="G35" s="62">
        <f t="shared" si="4"/>
      </c>
      <c r="H35" s="62">
        <f t="shared" si="3"/>
      </c>
      <c r="I35" s="55"/>
      <c r="J35" s="55"/>
      <c r="K35" s="7"/>
      <c r="L35" s="4" t="str">
        <f>IF($F$5="M","Concrete Pavement 240 mm","Concrete Pavement 9 1/2 inches")</f>
        <v>Concrete Pavement 9 1/2 inches</v>
      </c>
      <c r="M35" s="5">
        <f>IF($F$5="M",0.82,0.69)</f>
        <v>0.69</v>
      </c>
      <c r="N35" s="6"/>
      <c r="O35" s="50"/>
      <c r="P35" s="50"/>
    </row>
    <row r="36" spans="1:16" ht="22.5" customHeight="1">
      <c r="A36" s="26"/>
      <c r="B36" s="31"/>
      <c r="C36" s="61">
        <f t="shared" si="1"/>
      </c>
      <c r="D36" s="16"/>
      <c r="E36" s="29">
        <f t="shared" si="2"/>
      </c>
      <c r="F36" s="30">
        <f t="shared" si="0"/>
      </c>
      <c r="G36" s="62">
        <f t="shared" si="4"/>
      </c>
      <c r="H36" s="62">
        <f t="shared" si="3"/>
      </c>
      <c r="I36" s="55"/>
      <c r="J36" s="55"/>
      <c r="K36" s="7"/>
      <c r="L36" s="4" t="str">
        <f>IF($F$5="M","Concrete Pavement 250 mm","Concrete Pavement 10 inches")</f>
        <v>Concrete Pavement 10 inches</v>
      </c>
      <c r="M36" s="5">
        <f>IF($F$5="M",0.86,0.72)</f>
        <v>0.72</v>
      </c>
      <c r="N36" s="6"/>
      <c r="O36" s="50"/>
      <c r="P36" s="50"/>
    </row>
    <row r="37" spans="1:16" ht="22.5" customHeight="1">
      <c r="A37" s="26"/>
      <c r="B37" s="31"/>
      <c r="C37" s="61">
        <f t="shared" si="1"/>
      </c>
      <c r="D37" s="16"/>
      <c r="E37" s="29">
        <f t="shared" si="2"/>
      </c>
      <c r="F37" s="30">
        <f t="shared" si="0"/>
      </c>
      <c r="G37" s="62">
        <f t="shared" si="4"/>
      </c>
      <c r="H37" s="62">
        <f t="shared" si="3"/>
      </c>
      <c r="I37" s="55"/>
      <c r="J37" s="55"/>
      <c r="K37" s="7"/>
      <c r="L37" s="4">
        <f>IF(F5="M","Concrete Pavement 260 mm","")</f>
      </c>
      <c r="M37" s="5">
        <v>0.86</v>
      </c>
      <c r="N37" s="6"/>
      <c r="O37" s="50"/>
      <c r="P37" s="50"/>
    </row>
    <row r="38" spans="1:16" ht="22.5" customHeight="1">
      <c r="A38" s="26"/>
      <c r="B38" s="31"/>
      <c r="C38" s="61">
        <f t="shared" si="1"/>
      </c>
      <c r="D38" s="16"/>
      <c r="E38" s="29">
        <f t="shared" si="2"/>
      </c>
      <c r="F38" s="30">
        <f t="shared" si="0"/>
      </c>
      <c r="G38" s="62">
        <f t="shared" si="4"/>
      </c>
      <c r="H38" s="62">
        <f t="shared" si="3"/>
      </c>
      <c r="I38" s="55"/>
      <c r="J38" s="55"/>
      <c r="K38" s="7"/>
      <c r="L38" s="4" t="str">
        <f>IF($F$5="M","Concrete Pavement 270 mm","Concrete Pavement 10 1/2 inches")</f>
        <v>Concrete Pavement 10 1/2 inches</v>
      </c>
      <c r="M38" s="5">
        <f>IF($F$5="M",0.89,0.75)</f>
        <v>0.75</v>
      </c>
      <c r="N38" s="6"/>
      <c r="O38" s="50"/>
      <c r="P38" s="50"/>
    </row>
    <row r="39" spans="1:16" ht="22.5" customHeight="1">
      <c r="A39" s="39"/>
      <c r="B39" s="40"/>
      <c r="C39" s="32"/>
      <c r="D39" s="32"/>
      <c r="E39" s="33"/>
      <c r="F39" s="34"/>
      <c r="G39" s="35"/>
      <c r="H39" s="36" t="s">
        <v>66</v>
      </c>
      <c r="I39" s="47"/>
      <c r="J39" s="55"/>
      <c r="K39" s="7"/>
      <c r="L39" s="4" t="str">
        <f>IF($F$5="M","Concrete Pavement 280 mm","Concrete Pavement 11 inches")</f>
        <v>Concrete Pavement 11 inches</v>
      </c>
      <c r="M39" s="5">
        <f>IF($F$5="M",0.93,0.78)</f>
        <v>0.78</v>
      </c>
      <c r="N39" s="6"/>
      <c r="O39" s="50"/>
      <c r="P39" s="50"/>
    </row>
    <row r="40" spans="9:14" ht="12.75">
      <c r="I40" s="41"/>
      <c r="J40" s="41"/>
      <c r="K40" s="7"/>
      <c r="L40" s="4" t="str">
        <f>IF($F$5="M","Concrete Pavement 290 mm","Concrete Pavement 11 1/2 inches")</f>
        <v>Concrete Pavement 11 1/2 inches</v>
      </c>
      <c r="M40" s="5">
        <f>IF($F$5="M",0.96,0.81)</f>
        <v>0.81</v>
      </c>
      <c r="N40" s="6"/>
    </row>
    <row r="41" spans="1:14" ht="12.75">
      <c r="A41" s="42"/>
      <c r="B41" s="43"/>
      <c r="C41" s="44"/>
      <c r="D41" s="44"/>
      <c r="E41" s="45"/>
      <c r="F41" s="46"/>
      <c r="G41" s="47"/>
      <c r="H41" s="47"/>
      <c r="I41" s="47"/>
      <c r="J41" s="47"/>
      <c r="K41" s="7"/>
      <c r="L41" s="4" t="str">
        <f>IF($F$5="M","Concrete Pavement 300 mm","Concrete Pavement 12 inches")</f>
        <v>Concrete Pavement 12 inches</v>
      </c>
      <c r="M41" s="5">
        <f>IF($F$5="M",0.99,0.83)</f>
        <v>0.83</v>
      </c>
      <c r="N41" s="6"/>
    </row>
    <row r="42" spans="1:14" ht="12.75">
      <c r="A42" s="42"/>
      <c r="B42" s="43"/>
      <c r="C42" s="44"/>
      <c r="D42" s="44"/>
      <c r="E42" s="45"/>
      <c r="F42" s="46"/>
      <c r="G42" s="47"/>
      <c r="H42" s="47"/>
      <c r="I42" s="47"/>
      <c r="J42" s="47"/>
      <c r="K42" s="7"/>
      <c r="L42" s="4" t="str">
        <f>IF($F$5="M","Concrete Pavement 320 mm","Concrete Pavement 12 1/2 inches")</f>
        <v>Concrete Pavement 12 1/2 inches</v>
      </c>
      <c r="M42" s="5">
        <f>IF($F$5="M",1.02,0.86)</f>
        <v>0.86</v>
      </c>
      <c r="N42" s="6"/>
    </row>
    <row r="43" spans="1:14" ht="12.75">
      <c r="A43" s="42"/>
      <c r="B43" s="43"/>
      <c r="C43" s="44"/>
      <c r="D43" s="44"/>
      <c r="E43" s="45"/>
      <c r="F43" s="46"/>
      <c r="G43" s="47"/>
      <c r="H43" s="47"/>
      <c r="I43" s="47"/>
      <c r="J43" s="47"/>
      <c r="K43" s="7"/>
      <c r="L43" s="4" t="str">
        <f>IF($F$5="M","Concrete Pavement 330 mm","Concrete Pavement 13 inches")</f>
        <v>Concrete Pavement 13 inches</v>
      </c>
      <c r="M43" s="5">
        <f>IF($F$5="M",1.06,0.89)</f>
        <v>0.89</v>
      </c>
      <c r="N43" s="6"/>
    </row>
    <row r="44" spans="1:14" ht="12.75">
      <c r="A44" s="42"/>
      <c r="B44" s="43"/>
      <c r="C44" s="44"/>
      <c r="D44" s="44"/>
      <c r="E44" s="45"/>
      <c r="F44" s="46"/>
      <c r="G44" s="47"/>
      <c r="H44" s="47"/>
      <c r="I44" s="47"/>
      <c r="J44" s="47"/>
      <c r="K44" s="7"/>
      <c r="L44" s="4" t="str">
        <f>IF($F$5="M","Concrete Pavement 340 mm","Concrete Pavement 13 1/2 inches")</f>
        <v>Concrete Pavement 13 1/2 inches</v>
      </c>
      <c r="M44" s="5">
        <f>IF($F$5="M",1.1,0.92)</f>
        <v>0.92</v>
      </c>
      <c r="N44" s="6"/>
    </row>
    <row r="45" spans="1:14" ht="12.75">
      <c r="A45" s="42"/>
      <c r="B45" s="43"/>
      <c r="C45" s="44"/>
      <c r="D45" s="44"/>
      <c r="E45" s="45"/>
      <c r="F45" s="46"/>
      <c r="G45" s="47"/>
      <c r="H45" s="47"/>
      <c r="I45" s="47"/>
      <c r="J45" s="47"/>
      <c r="K45" s="7"/>
      <c r="L45" s="4" t="str">
        <f>IF($F$5="M","Concrete Pavement 360 mm","Concrete Pavement 14 inches")</f>
        <v>Concrete Pavement 14 inches</v>
      </c>
      <c r="M45" s="5">
        <f>IF($F$5="M",1.14,0.95)</f>
        <v>0.95</v>
      </c>
      <c r="N45" s="6"/>
    </row>
    <row r="46" spans="1:14" ht="12.75">
      <c r="A46" s="48"/>
      <c r="B46" s="48"/>
      <c r="C46" s="48"/>
      <c r="D46" s="48"/>
      <c r="E46" s="49"/>
      <c r="F46" s="48"/>
      <c r="G46" s="48"/>
      <c r="H46" s="48"/>
      <c r="I46" s="48"/>
      <c r="J46" s="48"/>
      <c r="K46" s="7"/>
      <c r="L46" s="4" t="str">
        <f>IF($F$5="M","Concrete Pavement 370 mm","Concrete Pavement 14 1/2 inches")</f>
        <v>Concrete Pavement 14 1/2 inches</v>
      </c>
      <c r="M46" s="5">
        <f>IF($F$5="M",1.17,0.98)</f>
        <v>0.98</v>
      </c>
      <c r="N46" s="6"/>
    </row>
    <row r="47" spans="1:14" ht="12.75">
      <c r="A47" s="50"/>
      <c r="B47" s="50"/>
      <c r="C47" s="50"/>
      <c r="D47" s="50"/>
      <c r="E47" s="51"/>
      <c r="F47" s="50"/>
      <c r="G47" s="50"/>
      <c r="H47" s="50"/>
      <c r="I47" s="50"/>
      <c r="J47" s="50"/>
      <c r="K47" s="7"/>
      <c r="L47" s="4" t="s">
        <v>60</v>
      </c>
      <c r="M47" s="5">
        <f>IF($F$5="M",334.65,10.2)</f>
        <v>10.2</v>
      </c>
      <c r="N47" s="6"/>
    </row>
    <row r="48" spans="1:14" ht="12.75">
      <c r="A48" s="50"/>
      <c r="B48" s="50"/>
      <c r="C48" s="50"/>
      <c r="D48" s="50"/>
      <c r="E48" s="51"/>
      <c r="F48" s="50"/>
      <c r="G48" s="50"/>
      <c r="H48" s="50"/>
      <c r="I48" s="50"/>
      <c r="J48" s="50"/>
      <c r="K48" s="7"/>
      <c r="L48" s="4" t="s">
        <v>59</v>
      </c>
      <c r="M48" s="5">
        <f>IF($F$5="M",2.65,2.4)</f>
        <v>2.4</v>
      </c>
      <c r="N48" s="6"/>
    </row>
    <row r="49" spans="1:14" ht="12.75">
      <c r="A49" s="50"/>
      <c r="B49" s="50"/>
      <c r="C49" s="50"/>
      <c r="D49" s="50"/>
      <c r="E49" s="51"/>
      <c r="F49" s="50"/>
      <c r="G49" s="50"/>
      <c r="H49" s="50"/>
      <c r="I49" s="50"/>
      <c r="J49" s="50"/>
      <c r="K49" s="7"/>
      <c r="L49" s="4" t="s">
        <v>64</v>
      </c>
      <c r="M49" s="5">
        <f>IF($F$5="M",2.65,2.4)</f>
        <v>2.4</v>
      </c>
      <c r="N49" s="6"/>
    </row>
    <row r="50" spans="1:14" ht="12.75">
      <c r="A50" s="50"/>
      <c r="B50" s="50"/>
      <c r="C50" s="50"/>
      <c r="D50" s="50"/>
      <c r="E50" s="51"/>
      <c r="F50" s="50"/>
      <c r="G50" s="50"/>
      <c r="H50" s="50"/>
      <c r="I50" s="50"/>
      <c r="J50" s="50"/>
      <c r="K50" s="7"/>
      <c r="L50" s="4" t="s">
        <v>65</v>
      </c>
      <c r="M50" s="5">
        <f>IF($F$5="M",2.65,2.4)</f>
        <v>2.4</v>
      </c>
      <c r="N50" s="6"/>
    </row>
    <row r="51" spans="11:13" ht="12.75">
      <c r="K51" s="7"/>
      <c r="L51" s="4"/>
      <c r="M51" s="5"/>
    </row>
    <row r="52" spans="11:13" ht="12.75">
      <c r="K52" s="7"/>
      <c r="L52" s="6"/>
      <c r="M52" s="6"/>
    </row>
    <row r="53" spans="11:13" ht="12.75">
      <c r="K53" s="7"/>
      <c r="L53" s="37"/>
      <c r="M53" s="37"/>
    </row>
    <row r="54" spans="11:13" ht="12.75">
      <c r="K54" s="7"/>
      <c r="L54" s="37"/>
      <c r="M54" s="37"/>
    </row>
    <row r="55" spans="12:13" ht="12.75">
      <c r="L55" s="37"/>
      <c r="M55" s="37"/>
    </row>
    <row r="56" spans="12:13" ht="12.75">
      <c r="L56" s="37"/>
      <c r="M56" s="37"/>
    </row>
    <row r="57" spans="12:13" ht="12.75">
      <c r="L57" s="37"/>
      <c r="M57" s="37"/>
    </row>
    <row r="58" spans="12:13" ht="12.75">
      <c r="L58" s="37"/>
      <c r="M58" s="37"/>
    </row>
    <row r="59" spans="12:13" ht="12.75">
      <c r="L59" s="37"/>
      <c r="M59" s="37"/>
    </row>
    <row r="60" spans="12:13" ht="12.75">
      <c r="L60" s="37"/>
      <c r="M60" s="37"/>
    </row>
    <row r="61" spans="12:13" ht="12.75">
      <c r="L61" s="37"/>
      <c r="M61" s="37"/>
    </row>
    <row r="62" spans="12:13" ht="12.75">
      <c r="L62" s="37"/>
      <c r="M62" s="37"/>
    </row>
    <row r="63" spans="12:13" ht="12.75">
      <c r="L63" s="37"/>
      <c r="M63" s="37"/>
    </row>
    <row r="64" spans="12:13" ht="12.75">
      <c r="L64" s="37"/>
      <c r="M64" s="37"/>
    </row>
    <row r="65" spans="12:13" ht="12.75">
      <c r="L65" s="37"/>
      <c r="M65" s="37"/>
    </row>
    <row r="66" spans="12:13" ht="12.75">
      <c r="L66" s="37"/>
      <c r="M66" s="37"/>
    </row>
    <row r="67" spans="12:13" ht="12.75">
      <c r="L67" s="37"/>
      <c r="M67" s="37"/>
    </row>
    <row r="68" spans="12:13" ht="12.75">
      <c r="L68" s="37"/>
      <c r="M68" s="37"/>
    </row>
    <row r="69" spans="12:13" ht="12.75">
      <c r="L69" s="37"/>
      <c r="M69" s="37"/>
    </row>
    <row r="70" ht="12.75">
      <c r="L70" s="37"/>
    </row>
    <row r="71" ht="12.75">
      <c r="L71" s="37"/>
    </row>
    <row r="72" ht="12.75">
      <c r="L72" s="37"/>
    </row>
  </sheetData>
  <sheetProtection password="BF11" sheet="1" objects="1" scenarios="1" selectLockedCells="1"/>
  <mergeCells count="4">
    <mergeCell ref="F3:H3"/>
    <mergeCell ref="F4:H4"/>
    <mergeCell ref="D5:E5"/>
    <mergeCell ref="B6:E6"/>
  </mergeCells>
  <dataValidations count="1">
    <dataValidation type="list" allowBlank="1" showInputMessage="1" showErrorMessage="1" promptTitle="Data Entry Restriction!" prompt="Please select one item from this drop down box. No other values will be accepted." errorTitle="Wrong data!" error="Please enter a value from the drop down list." sqref="B6:E6">
      <formula1>$L$7:$L$50</formula1>
    </dataValidation>
  </dataValidations>
  <printOptions/>
  <pageMargins left="1.06" right="0.5" top="0.5" bottom="0" header="0.5" footer="0"/>
  <pageSetup blackAndWhite="1" fitToHeight="1" fitToWidth="1" horizontalDpi="600" verticalDpi="600" orientation="portrait" scale="9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"/>
  <sheetViews>
    <sheetView showGridLines="0" showRowColHeaders="0" zoomScalePageLayoutView="0" workbookViewId="0" topLeftCell="A1">
      <selection activeCell="B6" sqref="B6:E6"/>
    </sheetView>
  </sheetViews>
  <sheetFormatPr defaultColWidth="9.140625" defaultRowHeight="12.75"/>
  <cols>
    <col min="1" max="1" width="13.00390625" style="0" customWidth="1"/>
    <col min="2" max="2" width="13.28125" style="0" customWidth="1"/>
    <col min="3" max="3" width="9.00390625" style="0" customWidth="1"/>
    <col min="4" max="4" width="9.28125" style="0" customWidth="1"/>
    <col min="5" max="5" width="11.00390625" style="1" customWidth="1"/>
    <col min="6" max="6" width="10.57421875" style="0" customWidth="1"/>
    <col min="7" max="8" width="16.00390625" style="0" bestFit="1" customWidth="1"/>
    <col min="11" max="11" width="3.57421875" style="0" customWidth="1"/>
    <col min="12" max="12" width="47.00390625" style="0" hidden="1" customWidth="1"/>
    <col min="13" max="13" width="8.28125" style="0" hidden="1" customWidth="1"/>
    <col min="14" max="14" width="7.140625" style="0" customWidth="1"/>
    <col min="15" max="16" width="9.140625" style="0" customWidth="1"/>
  </cols>
  <sheetData>
    <row r="1" spans="1:16" ht="15">
      <c r="A1" s="8"/>
      <c r="B1" s="8"/>
      <c r="C1" s="9" t="s">
        <v>67</v>
      </c>
      <c r="D1" s="8"/>
      <c r="E1" s="10"/>
      <c r="F1" s="8"/>
      <c r="G1" s="8"/>
      <c r="H1" s="8"/>
      <c r="I1" s="52"/>
      <c r="J1" s="52"/>
      <c r="K1" s="50"/>
      <c r="L1" s="50"/>
      <c r="M1" s="50"/>
      <c r="N1" s="50"/>
      <c r="O1" s="50"/>
      <c r="P1" s="50"/>
    </row>
    <row r="2" spans="1:16" ht="17.25" customHeight="1">
      <c r="A2" s="8"/>
      <c r="B2" s="8"/>
      <c r="C2" s="8"/>
      <c r="D2" s="8"/>
      <c r="E2" s="10"/>
      <c r="F2" s="8"/>
      <c r="G2" s="8"/>
      <c r="H2" s="8"/>
      <c r="I2" s="52"/>
      <c r="J2" s="52"/>
      <c r="K2" s="50"/>
      <c r="L2" s="50"/>
      <c r="M2" s="50"/>
      <c r="N2" s="50"/>
      <c r="O2" s="50"/>
      <c r="P2" s="50"/>
    </row>
    <row r="3" spans="1:16" ht="21" customHeight="1">
      <c r="A3" s="11"/>
      <c r="B3" s="12"/>
      <c r="C3" s="11"/>
      <c r="D3" s="11"/>
      <c r="E3" s="63" t="s">
        <v>42</v>
      </c>
      <c r="F3" s="97">
        <f>IF('Item 1'!F3:H3="","",'Item 1'!F3:H3)</f>
      </c>
      <c r="G3" s="97"/>
      <c r="H3" s="97"/>
      <c r="I3" s="53"/>
      <c r="J3" s="53"/>
      <c r="K3" s="50"/>
      <c r="L3" s="50"/>
      <c r="M3" s="50"/>
      <c r="N3" s="50"/>
      <c r="O3" s="50"/>
      <c r="P3" s="50"/>
    </row>
    <row r="4" spans="1:16" ht="21" customHeight="1">
      <c r="A4" s="13" t="s">
        <v>43</v>
      </c>
      <c r="B4" s="82">
        <f>IF('Item 1'!B4="","",'Item 1'!B4)</f>
      </c>
      <c r="C4" s="38"/>
      <c r="D4" s="11"/>
      <c r="E4" s="64" t="s">
        <v>41</v>
      </c>
      <c r="F4" s="98">
        <f>IF('Item 1'!F4:H4="","",'Item 1'!F4:H4)</f>
      </c>
      <c r="G4" s="99"/>
      <c r="H4" s="100"/>
      <c r="I4" s="53"/>
      <c r="J4" s="53"/>
      <c r="K4" s="50"/>
      <c r="L4" s="57"/>
      <c r="M4" s="50"/>
      <c r="N4" s="50"/>
      <c r="O4" s="50"/>
      <c r="P4" s="50"/>
    </row>
    <row r="5" spans="1:16" ht="21" customHeight="1">
      <c r="A5" s="79" t="s">
        <v>44</v>
      </c>
      <c r="B5" s="15"/>
      <c r="C5" s="81">
        <f>IF('Item 1'!C5="","",'Item 1'!C5)</f>
      </c>
      <c r="D5" s="95" t="s">
        <v>46</v>
      </c>
      <c r="E5" s="96"/>
      <c r="F5" s="80">
        <f>IF('Item 1'!F5="","",'Item 1'!F5)</f>
      </c>
      <c r="G5" s="65" t="s">
        <v>45</v>
      </c>
      <c r="H5" s="60">
        <f>IF(B6="","",VLOOKUP(B6,L7:M50,2,FALSE))</f>
      </c>
      <c r="I5" s="53"/>
      <c r="J5" s="53"/>
      <c r="K5" s="4"/>
      <c r="L5" s="56"/>
      <c r="N5" s="4"/>
      <c r="O5" s="50"/>
      <c r="P5" s="50"/>
    </row>
    <row r="6" spans="1:16" ht="21" customHeight="1">
      <c r="A6" s="79" t="s">
        <v>20</v>
      </c>
      <c r="B6" s="88"/>
      <c r="C6" s="89"/>
      <c r="D6" s="89"/>
      <c r="E6" s="90"/>
      <c r="F6" s="58"/>
      <c r="H6" s="59"/>
      <c r="I6" s="53"/>
      <c r="J6" s="53"/>
      <c r="K6" s="4"/>
      <c r="L6" s="4" t="s">
        <v>21</v>
      </c>
      <c r="M6" s="4" t="s">
        <v>37</v>
      </c>
      <c r="O6" s="50"/>
      <c r="P6" s="4"/>
    </row>
    <row r="7" spans="1:16" ht="12.75">
      <c r="A7" s="11"/>
      <c r="B7" s="11"/>
      <c r="C7" s="17"/>
      <c r="D7" s="11"/>
      <c r="E7" s="7"/>
      <c r="F7" s="11"/>
      <c r="G7" s="11"/>
      <c r="H7" s="11"/>
      <c r="I7" s="53"/>
      <c r="J7" s="53"/>
      <c r="K7" s="4"/>
      <c r="L7" s="4" t="s">
        <v>22</v>
      </c>
      <c r="M7" s="5">
        <f>IF($F$5="M",0.33,0.25)</f>
        <v>0.25</v>
      </c>
      <c r="O7" s="50"/>
      <c r="P7" s="5"/>
    </row>
    <row r="8" spans="1:16" ht="12.75">
      <c r="A8" s="18" t="s">
        <v>0</v>
      </c>
      <c r="B8" s="18" t="s">
        <v>18</v>
      </c>
      <c r="C8" s="19" t="s">
        <v>2</v>
      </c>
      <c r="D8" s="18" t="s">
        <v>5</v>
      </c>
      <c r="E8" s="20" t="s">
        <v>8</v>
      </c>
      <c r="F8" s="18" t="s">
        <v>10</v>
      </c>
      <c r="G8" s="18" t="s">
        <v>13</v>
      </c>
      <c r="H8" s="18" t="s">
        <v>8</v>
      </c>
      <c r="I8" s="54"/>
      <c r="J8" s="54"/>
      <c r="K8" s="4"/>
      <c r="L8" s="4" t="s">
        <v>61</v>
      </c>
      <c r="M8" s="5">
        <f>IF($F$5="M",0.33,0.25)</f>
        <v>0.25</v>
      </c>
      <c r="O8" s="50"/>
      <c r="P8" s="5"/>
    </row>
    <row r="9" spans="1:16" ht="12.75">
      <c r="A9" s="21"/>
      <c r="B9" s="22" t="s">
        <v>16</v>
      </c>
      <c r="C9" s="22" t="s">
        <v>3</v>
      </c>
      <c r="D9" s="22" t="s">
        <v>6</v>
      </c>
      <c r="E9" s="23"/>
      <c r="F9" s="22" t="s">
        <v>11</v>
      </c>
      <c r="G9" s="22" t="s">
        <v>14</v>
      </c>
      <c r="H9" s="22" t="s">
        <v>9</v>
      </c>
      <c r="I9" s="54"/>
      <c r="J9" s="54"/>
      <c r="K9" s="4"/>
      <c r="L9" s="4" t="s">
        <v>19</v>
      </c>
      <c r="M9" s="5">
        <f>IF($F$5="M",0.43,0.33)</f>
        <v>0.33</v>
      </c>
      <c r="O9" s="50"/>
      <c r="P9" s="5"/>
    </row>
    <row r="10" spans="1:16" ht="12.75">
      <c r="A10" s="24" t="s">
        <v>1</v>
      </c>
      <c r="B10" s="24" t="s">
        <v>17</v>
      </c>
      <c r="C10" s="24" t="s">
        <v>4</v>
      </c>
      <c r="D10" s="24" t="s">
        <v>7</v>
      </c>
      <c r="E10" s="25" t="s">
        <v>9</v>
      </c>
      <c r="F10" s="24" t="s">
        <v>12</v>
      </c>
      <c r="G10" s="24" t="s">
        <v>15</v>
      </c>
      <c r="H10" s="24" t="s">
        <v>15</v>
      </c>
      <c r="I10" s="54"/>
      <c r="J10" s="54"/>
      <c r="K10" s="4"/>
      <c r="L10" s="4" t="s">
        <v>62</v>
      </c>
      <c r="M10" s="5">
        <f>IF($F$5="M",0.43,0.33)</f>
        <v>0.33</v>
      </c>
      <c r="O10" s="50"/>
      <c r="P10" s="5"/>
    </row>
    <row r="11" spans="1:16" ht="22.5" customHeight="1">
      <c r="A11" s="26"/>
      <c r="B11" s="27"/>
      <c r="C11" s="61">
        <f>IF(H5="","",ABS($H$5))</f>
      </c>
      <c r="D11" s="28"/>
      <c r="E11" s="29">
        <f>IF(D11="","",+D11)</f>
      </c>
      <c r="F11" s="30">
        <f>+IF(B11="","",(B11-$C$5))</f>
      </c>
      <c r="G11" s="62">
        <f>IF(C11="","",IF(F11="","",+C11*D11*F11))</f>
      </c>
      <c r="H11" s="62">
        <f>+G11</f>
      </c>
      <c r="I11" s="54"/>
      <c r="J11" s="54"/>
      <c r="K11" s="4"/>
      <c r="L11" s="4" t="s">
        <v>24</v>
      </c>
      <c r="M11" s="5">
        <f>IF($F$5="M",0.38,0.29)</f>
        <v>0.29</v>
      </c>
      <c r="O11" s="50"/>
      <c r="P11" s="5"/>
    </row>
    <row r="12" spans="1:16" ht="22.5" customHeight="1">
      <c r="A12" s="26"/>
      <c r="B12" s="31"/>
      <c r="C12" s="61">
        <f>IF(B12="","",ABS($H$5))</f>
      </c>
      <c r="D12" s="16"/>
      <c r="E12" s="29">
        <f>IF(D12="","",+D12+E11)</f>
      </c>
      <c r="F12" s="30">
        <f aca="true" t="shared" si="0" ref="F12:F38">+IF(B12="","",(B12-$C$5))</f>
      </c>
      <c r="G12" s="62">
        <f>IF(C12="","",IF(F12="","",+C12*D12*F12))</f>
      </c>
      <c r="H12" s="62">
        <f>IF(G12="","",+H11+G12)</f>
      </c>
      <c r="I12" s="55"/>
      <c r="J12" s="55"/>
      <c r="K12" s="4"/>
      <c r="L12" s="4" t="s">
        <v>25</v>
      </c>
      <c r="M12" s="5">
        <f>IF($F$5="M",0.39,0.3)</f>
        <v>0.3</v>
      </c>
      <c r="O12" s="50"/>
      <c r="P12" s="5"/>
    </row>
    <row r="13" spans="1:16" ht="22.5" customHeight="1">
      <c r="A13" s="26"/>
      <c r="B13" s="31"/>
      <c r="C13" s="61">
        <f aca="true" t="shared" si="1" ref="C13:C38">IF(B13="","",ABS($H$5))</f>
      </c>
      <c r="D13" s="16"/>
      <c r="E13" s="29">
        <f aca="true" t="shared" si="2" ref="E13:E38">IF(D13="","",+D13+E12)</f>
      </c>
      <c r="F13" s="30">
        <f t="shared" si="0"/>
      </c>
      <c r="G13" s="62">
        <f>IF(C13="","",IF(F13="","",+C13*D13*F13))</f>
      </c>
      <c r="H13" s="62">
        <f aca="true" t="shared" si="3" ref="H13:H38">IF(G13="","",+H12+G13)</f>
      </c>
      <c r="I13" s="55"/>
      <c r="J13" s="55"/>
      <c r="K13" s="4"/>
      <c r="L13" s="4" t="s">
        <v>63</v>
      </c>
      <c r="M13" s="5">
        <f>IF($F$5="M",0.36,0.3)</f>
        <v>0.3</v>
      </c>
      <c r="O13" s="50"/>
      <c r="P13" s="5"/>
    </row>
    <row r="14" spans="1:16" ht="22.5" customHeight="1">
      <c r="A14" s="26"/>
      <c r="B14" s="31"/>
      <c r="C14" s="61">
        <f t="shared" si="1"/>
      </c>
      <c r="D14" s="16"/>
      <c r="E14" s="29">
        <f t="shared" si="2"/>
      </c>
      <c r="F14" s="30">
        <f t="shared" si="0"/>
      </c>
      <c r="G14" s="62">
        <f>IF(C14="","",IF(F14="","",+C14*D14*F14))</f>
      </c>
      <c r="H14" s="62">
        <f t="shared" si="3"/>
      </c>
      <c r="I14" s="55"/>
      <c r="J14" s="55"/>
      <c r="K14" s="66"/>
      <c r="L14" s="4" t="str">
        <f>IF($F$5="M","Concrete Placement:  75mm","Concrete Placement:  3 inches")</f>
        <v>Concrete Placement:  3 inches</v>
      </c>
      <c r="M14" s="5">
        <f>IF($F$5="M",0.36,0.3)</f>
        <v>0.3</v>
      </c>
      <c r="O14" s="50"/>
      <c r="P14" s="67"/>
    </row>
    <row r="15" spans="1:16" ht="22.5" customHeight="1">
      <c r="A15" s="26"/>
      <c r="B15" s="31"/>
      <c r="C15" s="61">
        <f t="shared" si="1"/>
      </c>
      <c r="D15" s="16"/>
      <c r="E15" s="29">
        <f t="shared" si="2"/>
      </c>
      <c r="F15" s="30">
        <f t="shared" si="0"/>
      </c>
      <c r="G15" s="62">
        <f>IF(C15="","",IF(F15="","",+C15*D15*F15))</f>
      </c>
      <c r="H15" s="62">
        <f t="shared" si="3"/>
      </c>
      <c r="I15" s="55"/>
      <c r="J15" s="55"/>
      <c r="K15" s="66"/>
      <c r="L15" s="4" t="str">
        <f>IF($F$5="M","","Concrete Placement:  3.5 inches")</f>
        <v>Concrete Placement:  3.5 inches</v>
      </c>
      <c r="M15" s="5">
        <f>IF($F$5="M",0.39,0.33)</f>
        <v>0.33</v>
      </c>
      <c r="O15" s="50"/>
      <c r="P15" s="67"/>
    </row>
    <row r="16" spans="1:16" ht="22.5" customHeight="1">
      <c r="A16" s="26"/>
      <c r="B16" s="31"/>
      <c r="C16" s="61">
        <f t="shared" si="1"/>
      </c>
      <c r="D16" s="16"/>
      <c r="E16" s="29">
        <f t="shared" si="2"/>
      </c>
      <c r="F16" s="30">
        <f t="shared" si="0"/>
      </c>
      <c r="G16" s="62">
        <f aca="true" t="shared" si="4" ref="G16:G38">IF(F16="","",+C16*D16*F16)</f>
      </c>
      <c r="H16" s="62">
        <f t="shared" si="3"/>
      </c>
      <c r="I16" s="55"/>
      <c r="J16" s="55"/>
      <c r="K16" s="4"/>
      <c r="L16" s="4" t="str">
        <f>IF($F$5="M","Concrete Placement:  100mm","Concrete Placement:  4 inches")</f>
        <v>Concrete Placement:  4 inches</v>
      </c>
      <c r="M16" s="5">
        <f>IF($F$5="M",0.43,0.36)</f>
        <v>0.36</v>
      </c>
      <c r="O16" s="50"/>
      <c r="P16" s="5"/>
    </row>
    <row r="17" spans="1:16" ht="22.5" customHeight="1">
      <c r="A17" s="26"/>
      <c r="B17" s="31"/>
      <c r="C17" s="61">
        <f t="shared" si="1"/>
      </c>
      <c r="D17" s="16"/>
      <c r="E17" s="29">
        <f t="shared" si="2"/>
      </c>
      <c r="F17" s="30">
        <f t="shared" si="0"/>
      </c>
      <c r="G17" s="62">
        <f t="shared" si="4"/>
      </c>
      <c r="H17" s="62">
        <f t="shared" si="3"/>
      </c>
      <c r="I17" s="55"/>
      <c r="J17" s="55"/>
      <c r="K17" s="66"/>
      <c r="L17" s="4" t="str">
        <f>IF($F$5="M","","Concrete Placement:  4.5 inches")</f>
        <v>Concrete Placement:  4.5 inches</v>
      </c>
      <c r="M17" s="5">
        <f>IF($F$5="M",0.46,0.39)</f>
        <v>0.39</v>
      </c>
      <c r="O17" s="50"/>
      <c r="P17" s="67"/>
    </row>
    <row r="18" spans="1:16" ht="22.5" customHeight="1">
      <c r="A18" s="26"/>
      <c r="B18" s="31"/>
      <c r="C18" s="61">
        <f t="shared" si="1"/>
      </c>
      <c r="D18" s="16"/>
      <c r="E18" s="29">
        <f t="shared" si="2"/>
      </c>
      <c r="F18" s="30">
        <f t="shared" si="0"/>
      </c>
      <c r="G18" s="62">
        <f t="shared" si="4"/>
      </c>
      <c r="H18" s="62">
        <f t="shared" si="3"/>
      </c>
      <c r="I18" s="55"/>
      <c r="J18" s="55"/>
      <c r="K18" s="4"/>
      <c r="L18" s="4" t="str">
        <f>IF($F$5="M","Concrete Placement:  140mm","Concrete Placement:  5 inches")</f>
        <v>Concrete Placement:  5 inches</v>
      </c>
      <c r="M18" s="5">
        <f>IF($F$5="M",0.5,0.42)</f>
        <v>0.42</v>
      </c>
      <c r="O18" s="50"/>
      <c r="P18" s="5"/>
    </row>
    <row r="19" spans="1:16" ht="22.5" customHeight="1">
      <c r="A19" s="26"/>
      <c r="B19" s="31"/>
      <c r="C19" s="61">
        <f t="shared" si="1"/>
      </c>
      <c r="D19" s="16"/>
      <c r="E19" s="29">
        <f t="shared" si="2"/>
      </c>
      <c r="F19" s="30">
        <f t="shared" si="0"/>
      </c>
      <c r="G19" s="62">
        <f t="shared" si="4"/>
      </c>
      <c r="H19" s="62">
        <f t="shared" si="3"/>
      </c>
      <c r="I19" s="55"/>
      <c r="J19" s="55"/>
      <c r="K19" s="66"/>
      <c r="L19" s="4" t="str">
        <f>IF($F$5="M","","Concrete Placement:  5.5 inches")</f>
        <v>Concrete Placement:  5.5 inches</v>
      </c>
      <c r="M19" s="5">
        <f>IF($F$5="M",0.53,0.45)</f>
        <v>0.45</v>
      </c>
      <c r="O19" s="50"/>
      <c r="P19" s="67"/>
    </row>
    <row r="20" spans="1:16" ht="21" customHeight="1">
      <c r="A20" s="26"/>
      <c r="B20" s="31"/>
      <c r="C20" s="61">
        <f t="shared" si="1"/>
      </c>
      <c r="D20" s="16"/>
      <c r="E20" s="29">
        <f t="shared" si="2"/>
      </c>
      <c r="F20" s="30">
        <f t="shared" si="0"/>
      </c>
      <c r="G20" s="62">
        <f t="shared" si="4"/>
      </c>
      <c r="H20" s="62">
        <f t="shared" si="3"/>
      </c>
      <c r="I20" s="55"/>
      <c r="J20" s="55"/>
      <c r="K20" s="4"/>
      <c r="L20" s="4" t="str">
        <f>IF($F$5="M","Concrete Placement:  160mm","Concrete Placement:  6 inches")</f>
        <v>Concrete Placement:  6 inches</v>
      </c>
      <c r="M20" s="5">
        <f>IF($F$5="M",0.57,0.48)</f>
        <v>0.48</v>
      </c>
      <c r="O20" s="50"/>
      <c r="P20" s="5"/>
    </row>
    <row r="21" spans="1:16" ht="21" customHeight="1">
      <c r="A21" s="26"/>
      <c r="B21" s="31"/>
      <c r="C21" s="61">
        <f t="shared" si="1"/>
      </c>
      <c r="D21" s="16"/>
      <c r="E21" s="29">
        <f t="shared" si="2"/>
      </c>
      <c r="F21" s="30">
        <f t="shared" si="0"/>
      </c>
      <c r="G21" s="62">
        <f t="shared" si="4"/>
      </c>
      <c r="H21" s="62">
        <f t="shared" si="3"/>
      </c>
      <c r="I21" s="55"/>
      <c r="J21" s="55"/>
      <c r="K21" s="66"/>
      <c r="L21" s="4" t="str">
        <f>IF($F$5="M","Bonded Concrete Pavement (75mm)","Bonded Concrete Pavement (3 inches)")</f>
        <v>Bonded Concrete Pavement (3 inches)</v>
      </c>
      <c r="M21" s="5">
        <f>IF($F$5="M",0.36,0.3)</f>
        <v>0.3</v>
      </c>
      <c r="O21" s="50"/>
      <c r="P21" s="67"/>
    </row>
    <row r="22" spans="1:16" ht="21" customHeight="1">
      <c r="A22" s="26"/>
      <c r="B22" s="31"/>
      <c r="C22" s="61">
        <f t="shared" si="1"/>
      </c>
      <c r="D22" s="16"/>
      <c r="E22" s="29">
        <f t="shared" si="2"/>
      </c>
      <c r="F22" s="30">
        <f t="shared" si="0"/>
      </c>
      <c r="G22" s="62">
        <f t="shared" si="4"/>
      </c>
      <c r="H22" s="62">
        <f t="shared" si="3"/>
      </c>
      <c r="I22" s="55"/>
      <c r="J22" s="55"/>
      <c r="K22" s="4"/>
      <c r="L22" s="4" t="str">
        <f>IF($F$5="M","","Bonded Concrete Pavement (3.5 inches)")</f>
        <v>Bonded Concrete Pavement (3.5 inches)</v>
      </c>
      <c r="M22" s="5">
        <f>IF($F$5="M",0.39,0.33)</f>
        <v>0.33</v>
      </c>
      <c r="O22" s="50"/>
      <c r="P22" s="5"/>
    </row>
    <row r="23" spans="1:16" ht="22.5" customHeight="1">
      <c r="A23" s="26"/>
      <c r="B23" s="31"/>
      <c r="C23" s="61">
        <f t="shared" si="1"/>
      </c>
      <c r="D23" s="16"/>
      <c r="E23" s="29">
        <f t="shared" si="2"/>
      </c>
      <c r="F23" s="30">
        <f t="shared" si="0"/>
      </c>
      <c r="G23" s="62">
        <f t="shared" si="4"/>
      </c>
      <c r="H23" s="62">
        <f t="shared" si="3"/>
      </c>
      <c r="I23" s="55"/>
      <c r="J23" s="55"/>
      <c r="K23" s="66"/>
      <c r="L23" s="4" t="str">
        <f>IF($F$5="M","Bonded Concrete Pavement (100mm)","Bonded Concrete Pavement (4 inches)")</f>
        <v>Bonded Concrete Pavement (4 inches)</v>
      </c>
      <c r="M23" s="5">
        <f>IF($F$5="M",0.43,0.36)</f>
        <v>0.36</v>
      </c>
      <c r="O23" s="50"/>
      <c r="P23" s="67"/>
    </row>
    <row r="24" spans="1:16" ht="22.5" customHeight="1">
      <c r="A24" s="26"/>
      <c r="B24" s="31"/>
      <c r="C24" s="61">
        <f t="shared" si="1"/>
      </c>
      <c r="D24" s="16"/>
      <c r="E24" s="29">
        <f t="shared" si="2"/>
      </c>
      <c r="F24" s="30">
        <f t="shared" si="0"/>
      </c>
      <c r="G24" s="62">
        <f t="shared" si="4"/>
      </c>
      <c r="H24" s="62">
        <f t="shared" si="3"/>
      </c>
      <c r="I24" s="55"/>
      <c r="J24" s="55"/>
      <c r="K24" s="4"/>
      <c r="L24" s="4" t="str">
        <f>IF($F$5="M","","Bonded Concrete Pavement (4.5 inches)")</f>
        <v>Bonded Concrete Pavement (4.5 inches)</v>
      </c>
      <c r="M24" s="5">
        <f>IF($F$5="M",0.46,0.39)</f>
        <v>0.39</v>
      </c>
      <c r="O24" s="50"/>
      <c r="P24" s="5"/>
    </row>
    <row r="25" spans="1:16" ht="22.5" customHeight="1">
      <c r="A25" s="26"/>
      <c r="B25" s="31"/>
      <c r="C25" s="61">
        <f t="shared" si="1"/>
      </c>
      <c r="D25" s="16"/>
      <c r="E25" s="29">
        <f t="shared" si="2"/>
      </c>
      <c r="F25" s="30">
        <f t="shared" si="0"/>
      </c>
      <c r="G25" s="62">
        <f t="shared" si="4"/>
      </c>
      <c r="H25" s="62">
        <f t="shared" si="3"/>
      </c>
      <c r="I25" s="55"/>
      <c r="J25" s="55"/>
      <c r="K25" s="66"/>
      <c r="L25" s="4" t="str">
        <f>IF($F$5="M","Bonded Concrete Pavement (140mm)","Bonded Concrete Pavement (5 inches)")</f>
        <v>Bonded Concrete Pavement (5 inches)</v>
      </c>
      <c r="M25" s="5">
        <f>IF($F$5="M",0.5,0.42)</f>
        <v>0.42</v>
      </c>
      <c r="O25" s="50"/>
      <c r="P25" s="67"/>
    </row>
    <row r="26" spans="1:16" ht="22.5" customHeight="1">
      <c r="A26" s="26"/>
      <c r="B26" s="31"/>
      <c r="C26" s="61">
        <f t="shared" si="1"/>
      </c>
      <c r="D26" s="16"/>
      <c r="E26" s="29">
        <f t="shared" si="2"/>
      </c>
      <c r="F26" s="30">
        <f t="shared" si="0"/>
      </c>
      <c r="G26" s="62">
        <f t="shared" si="4"/>
      </c>
      <c r="H26" s="62">
        <f t="shared" si="3"/>
      </c>
      <c r="I26" s="55"/>
      <c r="J26" s="55"/>
      <c r="K26" s="4"/>
      <c r="L26" s="4" t="str">
        <f>IF($F$5="M","","Bonded Concrete Pavement (5.5 inches)")</f>
        <v>Bonded Concrete Pavement (5.5 inches)</v>
      </c>
      <c r="M26" s="5">
        <f>IF($F$5="M",0.53,0.45)</f>
        <v>0.45</v>
      </c>
      <c r="O26" s="50"/>
      <c r="P26" s="5"/>
    </row>
    <row r="27" spans="1:16" ht="22.5" customHeight="1">
      <c r="A27" s="26"/>
      <c r="B27" s="31"/>
      <c r="C27" s="61">
        <f t="shared" si="1"/>
      </c>
      <c r="D27" s="16"/>
      <c r="E27" s="29">
        <f t="shared" si="2"/>
      </c>
      <c r="F27" s="30">
        <f t="shared" si="0"/>
      </c>
      <c r="G27" s="62">
        <f t="shared" si="4"/>
      </c>
      <c r="H27" s="62">
        <f t="shared" si="3"/>
      </c>
      <c r="I27" s="55"/>
      <c r="J27" s="55"/>
      <c r="K27" s="66"/>
      <c r="L27" s="4" t="str">
        <f>IF($F$5="M","Bonded Concrete Pavement (160mm)","Bonded Concrete Pavement (6 inches)")</f>
        <v>Bonded Concrete Pavement (6 inches)</v>
      </c>
      <c r="M27" s="5">
        <f>IF($F$5="M",0.57,0.48)</f>
        <v>0.48</v>
      </c>
      <c r="O27" s="50"/>
      <c r="P27" s="67"/>
    </row>
    <row r="28" spans="1:16" ht="22.5" customHeight="1">
      <c r="A28" s="26"/>
      <c r="B28" s="31"/>
      <c r="C28" s="61">
        <f t="shared" si="1"/>
      </c>
      <c r="D28" s="16"/>
      <c r="E28" s="29">
        <f t="shared" si="2"/>
      </c>
      <c r="F28" s="30">
        <f t="shared" si="0"/>
      </c>
      <c r="G28" s="62">
        <f t="shared" si="4"/>
      </c>
      <c r="H28" s="62">
        <f t="shared" si="3"/>
      </c>
      <c r="I28" s="55"/>
      <c r="J28" s="55"/>
      <c r="K28" s="4"/>
      <c r="L28" s="4" t="str">
        <f>IF($F$5="M","Concrete Pavement 160 mm","Concrete Pavement 6 inches")</f>
        <v>Concrete Pavement 6 inches</v>
      </c>
      <c r="M28" s="5">
        <f>IF($F$5="M",0.58,0.48)</f>
        <v>0.48</v>
      </c>
      <c r="O28" s="50"/>
      <c r="P28" s="5"/>
    </row>
    <row r="29" spans="1:16" ht="22.5" customHeight="1">
      <c r="A29" s="26"/>
      <c r="B29" s="31"/>
      <c r="C29" s="61">
        <f t="shared" si="1"/>
      </c>
      <c r="D29" s="16"/>
      <c r="E29" s="29">
        <f t="shared" si="2"/>
      </c>
      <c r="F29" s="30">
        <f t="shared" si="0"/>
      </c>
      <c r="G29" s="62">
        <f t="shared" si="4"/>
      </c>
      <c r="H29" s="62">
        <f t="shared" si="3"/>
      </c>
      <c r="I29" s="55"/>
      <c r="J29" s="55"/>
      <c r="K29" s="4"/>
      <c r="L29" s="4" t="str">
        <f>IF($F$5="M","","Concrete Pavement 6.5 inches")</f>
        <v>Concrete Pavement 6.5 inches</v>
      </c>
      <c r="M29" s="5">
        <f>IF($F$5="M",0.61,0.51)</f>
        <v>0.51</v>
      </c>
      <c r="O29" s="50"/>
      <c r="P29" s="5"/>
    </row>
    <row r="30" spans="1:16" ht="22.5" customHeight="1">
      <c r="A30" s="26"/>
      <c r="B30" s="31"/>
      <c r="C30" s="61">
        <f t="shared" si="1"/>
      </c>
      <c r="D30" s="16"/>
      <c r="E30" s="29">
        <f t="shared" si="2"/>
      </c>
      <c r="F30" s="30">
        <f t="shared" si="0"/>
      </c>
      <c r="G30" s="62">
        <f t="shared" si="4"/>
      </c>
      <c r="H30" s="62">
        <f t="shared" si="3"/>
      </c>
      <c r="I30" s="55"/>
      <c r="J30" s="55"/>
      <c r="K30" s="4"/>
      <c r="L30" s="4" t="str">
        <f>IF($F$5="M","Concrete Pavement 180 mm","Concrete Pavement 7 inches")</f>
        <v>Concrete Pavement 7 inches</v>
      </c>
      <c r="M30" s="5">
        <f>IF($F$5="M",0.65,0.54)</f>
        <v>0.54</v>
      </c>
      <c r="O30" s="50"/>
      <c r="P30" s="5"/>
    </row>
    <row r="31" spans="1:16" ht="22.5" customHeight="1">
      <c r="A31" s="26"/>
      <c r="B31" s="31"/>
      <c r="C31" s="61">
        <f t="shared" si="1"/>
      </c>
      <c r="D31" s="16"/>
      <c r="E31" s="29">
        <f t="shared" si="2"/>
      </c>
      <c r="F31" s="30">
        <f t="shared" si="0"/>
      </c>
      <c r="G31" s="62">
        <f t="shared" si="4"/>
      </c>
      <c r="H31" s="62">
        <f t="shared" si="3"/>
      </c>
      <c r="I31" s="55"/>
      <c r="J31" s="55"/>
      <c r="K31" s="4"/>
      <c r="L31" s="4" t="str">
        <f>IF($F$5="M","Concrete Pavement 190 mm","Concrete Pavement 7.5 inches")</f>
        <v>Concrete Pavement 7.5 inches</v>
      </c>
      <c r="M31" s="5">
        <f>IF($F$5="M",0.69,0.57)</f>
        <v>0.57</v>
      </c>
      <c r="O31" s="50"/>
      <c r="P31" s="5"/>
    </row>
    <row r="32" spans="1:16" ht="22.5" customHeight="1">
      <c r="A32" s="26"/>
      <c r="B32" s="31"/>
      <c r="C32" s="61">
        <f t="shared" si="1"/>
      </c>
      <c r="D32" s="16"/>
      <c r="E32" s="29">
        <f t="shared" si="2"/>
      </c>
      <c r="F32" s="30">
        <f t="shared" si="0"/>
      </c>
      <c r="G32" s="62">
        <f t="shared" si="4"/>
      </c>
      <c r="H32" s="62">
        <f t="shared" si="3"/>
      </c>
      <c r="I32" s="55"/>
      <c r="J32" s="55"/>
      <c r="K32" s="4"/>
      <c r="L32" s="4" t="str">
        <f>IF($F$5="M","Concrete Pavement 200 mm","Concrete Pavement 8 inches")</f>
        <v>Concrete Pavement 8 inches</v>
      </c>
      <c r="M32" s="5">
        <f>IF($F$5="M",0.72,0.6)</f>
        <v>0.6</v>
      </c>
      <c r="O32" s="50"/>
      <c r="P32" s="5"/>
    </row>
    <row r="33" spans="1:16" ht="22.5" customHeight="1">
      <c r="A33" s="26"/>
      <c r="B33" s="31"/>
      <c r="C33" s="61">
        <f t="shared" si="1"/>
      </c>
      <c r="D33" s="16"/>
      <c r="E33" s="29">
        <f t="shared" si="2"/>
      </c>
      <c r="F33" s="30">
        <f t="shared" si="0"/>
      </c>
      <c r="G33" s="62">
        <f t="shared" si="4"/>
      </c>
      <c r="H33" s="62">
        <f t="shared" si="3"/>
      </c>
      <c r="I33" s="55"/>
      <c r="J33" s="55"/>
      <c r="K33" s="6"/>
      <c r="L33" s="4" t="str">
        <f>IF($F$5="M","Concrete Pavement 220 mm","Concrete Pavement 8 1/2 inches")</f>
        <v>Concrete Pavement 8 1/2 inches</v>
      </c>
      <c r="M33" s="5">
        <f>IF($F$5="M",0.76,0.63)</f>
        <v>0.63</v>
      </c>
      <c r="N33" s="6"/>
      <c r="O33" s="50"/>
      <c r="P33" s="50"/>
    </row>
    <row r="34" spans="1:16" ht="22.5" customHeight="1">
      <c r="A34" s="26"/>
      <c r="B34" s="31"/>
      <c r="C34" s="61">
        <f t="shared" si="1"/>
      </c>
      <c r="D34" s="16"/>
      <c r="E34" s="29">
        <f t="shared" si="2"/>
      </c>
      <c r="F34" s="30">
        <f t="shared" si="0"/>
      </c>
      <c r="G34" s="62">
        <f t="shared" si="4"/>
      </c>
      <c r="H34" s="62">
        <f t="shared" si="3"/>
      </c>
      <c r="I34" s="55"/>
      <c r="J34" s="55"/>
      <c r="K34" s="7"/>
      <c r="L34" s="4" t="str">
        <f>IF($F$5="M","Concrete Pavement 230 mm","Concrete Pavement 9 inches")</f>
        <v>Concrete Pavement 9 inches</v>
      </c>
      <c r="M34" s="5">
        <f>IF($F$5="M",0.79,0.66)</f>
        <v>0.66</v>
      </c>
      <c r="N34" s="6"/>
      <c r="O34" s="50"/>
      <c r="P34" s="50"/>
    </row>
    <row r="35" spans="1:16" ht="22.5" customHeight="1">
      <c r="A35" s="26"/>
      <c r="B35" s="31"/>
      <c r="C35" s="61">
        <f t="shared" si="1"/>
      </c>
      <c r="D35" s="16"/>
      <c r="E35" s="29">
        <f t="shared" si="2"/>
      </c>
      <c r="F35" s="30">
        <f t="shared" si="0"/>
      </c>
      <c r="G35" s="62">
        <f t="shared" si="4"/>
      </c>
      <c r="H35" s="62">
        <f t="shared" si="3"/>
      </c>
      <c r="I35" s="55"/>
      <c r="J35" s="55"/>
      <c r="K35" s="7"/>
      <c r="L35" s="4" t="str">
        <f>IF($F$5="M","Concrete Pavement 240 mm","Concrete Pavement 9 1/2 inches")</f>
        <v>Concrete Pavement 9 1/2 inches</v>
      </c>
      <c r="M35" s="5">
        <f>IF($F$5="M",0.82,0.69)</f>
        <v>0.69</v>
      </c>
      <c r="N35" s="6"/>
      <c r="O35" s="50"/>
      <c r="P35" s="50"/>
    </row>
    <row r="36" spans="1:16" ht="22.5" customHeight="1">
      <c r="A36" s="26"/>
      <c r="B36" s="31"/>
      <c r="C36" s="61">
        <f t="shared" si="1"/>
      </c>
      <c r="D36" s="16"/>
      <c r="E36" s="29">
        <f t="shared" si="2"/>
      </c>
      <c r="F36" s="30">
        <f t="shared" si="0"/>
      </c>
      <c r="G36" s="62">
        <f t="shared" si="4"/>
      </c>
      <c r="H36" s="62">
        <f t="shared" si="3"/>
      </c>
      <c r="I36" s="55"/>
      <c r="J36" s="55"/>
      <c r="K36" s="7"/>
      <c r="L36" s="4" t="str">
        <f>IF($F$5="M","Concrete Pavement 250 mm","Concrete Pavement 10 inches")</f>
        <v>Concrete Pavement 10 inches</v>
      </c>
      <c r="M36" s="5">
        <f>IF($F$5="M",0.86,0.72)</f>
        <v>0.72</v>
      </c>
      <c r="N36" s="6"/>
      <c r="O36" s="50"/>
      <c r="P36" s="50"/>
    </row>
    <row r="37" spans="1:16" ht="22.5" customHeight="1">
      <c r="A37" s="26"/>
      <c r="B37" s="31"/>
      <c r="C37" s="61">
        <f t="shared" si="1"/>
      </c>
      <c r="D37" s="16"/>
      <c r="E37" s="29">
        <f t="shared" si="2"/>
      </c>
      <c r="F37" s="30">
        <f t="shared" si="0"/>
      </c>
      <c r="G37" s="62">
        <f t="shared" si="4"/>
      </c>
      <c r="H37" s="62">
        <f t="shared" si="3"/>
      </c>
      <c r="I37" s="55"/>
      <c r="J37" s="55"/>
      <c r="K37" s="7"/>
      <c r="L37" s="4">
        <f>IF(F5="M","Concrete Pavement 260 mm","")</f>
      </c>
      <c r="M37" s="5">
        <v>0.86</v>
      </c>
      <c r="N37" s="6"/>
      <c r="O37" s="50"/>
      <c r="P37" s="50"/>
    </row>
    <row r="38" spans="1:16" ht="22.5" customHeight="1">
      <c r="A38" s="26"/>
      <c r="B38" s="31"/>
      <c r="C38" s="61">
        <f t="shared" si="1"/>
      </c>
      <c r="D38" s="16"/>
      <c r="E38" s="29">
        <f t="shared" si="2"/>
      </c>
      <c r="F38" s="30">
        <f t="shared" si="0"/>
      </c>
      <c r="G38" s="62">
        <f t="shared" si="4"/>
      </c>
      <c r="H38" s="62">
        <f t="shared" si="3"/>
      </c>
      <c r="I38" s="55"/>
      <c r="J38" s="55"/>
      <c r="K38" s="7"/>
      <c r="L38" s="4" t="str">
        <f>IF($F$5="M","Concrete Pavement 270 mm","Concrete Pavement 10 1/2 inches")</f>
        <v>Concrete Pavement 10 1/2 inches</v>
      </c>
      <c r="M38" s="5">
        <f>IF($F$5="M",0.89,0.75)</f>
        <v>0.75</v>
      </c>
      <c r="N38" s="6"/>
      <c r="O38" s="50"/>
      <c r="P38" s="50"/>
    </row>
    <row r="39" spans="1:16" ht="22.5" customHeight="1">
      <c r="A39" s="39"/>
      <c r="B39" s="40"/>
      <c r="C39" s="32"/>
      <c r="D39" s="32"/>
      <c r="E39" s="33"/>
      <c r="F39" s="34"/>
      <c r="G39" s="35"/>
      <c r="H39" s="36" t="s">
        <v>66</v>
      </c>
      <c r="I39" s="47"/>
      <c r="J39" s="55"/>
      <c r="K39" s="7"/>
      <c r="L39" s="4" t="str">
        <f>IF($F$5="M","Concrete Pavement 280 mm","Concrete Pavement 11 inches")</f>
        <v>Concrete Pavement 11 inches</v>
      </c>
      <c r="M39" s="5">
        <f>IF($F$5="M",0.93,0.78)</f>
        <v>0.78</v>
      </c>
      <c r="N39" s="6"/>
      <c r="O39" s="50"/>
      <c r="P39" s="50"/>
    </row>
    <row r="40" spans="9:14" ht="12.75">
      <c r="I40" s="41"/>
      <c r="J40" s="41"/>
      <c r="K40" s="7"/>
      <c r="L40" s="4" t="str">
        <f>IF($F$5="M","Concrete Pavement 290 mm","Concrete Pavement 11 1/2 inches")</f>
        <v>Concrete Pavement 11 1/2 inches</v>
      </c>
      <c r="M40" s="5">
        <f>IF($F$5="M",0.96,0.81)</f>
        <v>0.81</v>
      </c>
      <c r="N40" s="6"/>
    </row>
    <row r="41" spans="1:14" ht="12.75">
      <c r="A41" s="42"/>
      <c r="B41" s="43"/>
      <c r="C41" s="44"/>
      <c r="D41" s="44"/>
      <c r="E41" s="45"/>
      <c r="F41" s="46"/>
      <c r="G41" s="47"/>
      <c r="H41" s="47"/>
      <c r="I41" s="47"/>
      <c r="J41" s="47"/>
      <c r="K41" s="7"/>
      <c r="L41" s="4" t="str">
        <f>IF($F$5="M","Concrete Pavement 300 mm","Concrete Pavement 12 inches")</f>
        <v>Concrete Pavement 12 inches</v>
      </c>
      <c r="M41" s="5">
        <f>IF($F$5="M",0.99,0.83)</f>
        <v>0.83</v>
      </c>
      <c r="N41" s="6"/>
    </row>
    <row r="42" spans="1:14" ht="12.75">
      <c r="A42" s="42"/>
      <c r="B42" s="43"/>
      <c r="C42" s="44"/>
      <c r="D42" s="44"/>
      <c r="E42" s="45"/>
      <c r="F42" s="46"/>
      <c r="G42" s="47"/>
      <c r="H42" s="47"/>
      <c r="I42" s="47"/>
      <c r="J42" s="47"/>
      <c r="K42" s="7"/>
      <c r="L42" s="4" t="str">
        <f>IF($F$5="M","Concrete Pavement 320 mm","Concrete Pavement 12 1/2 inches")</f>
        <v>Concrete Pavement 12 1/2 inches</v>
      </c>
      <c r="M42" s="5">
        <f>IF($F$5="M",1.02,0.86)</f>
        <v>0.86</v>
      </c>
      <c r="N42" s="6"/>
    </row>
    <row r="43" spans="1:14" ht="12.75">
      <c r="A43" s="42"/>
      <c r="B43" s="43"/>
      <c r="C43" s="44"/>
      <c r="D43" s="44"/>
      <c r="E43" s="45"/>
      <c r="F43" s="46"/>
      <c r="G43" s="47"/>
      <c r="H43" s="47"/>
      <c r="I43" s="47"/>
      <c r="J43" s="47"/>
      <c r="K43" s="7"/>
      <c r="L43" s="4" t="str">
        <f>IF($F$5="M","Concrete Pavement 330 mm","Concrete Pavement 13 inches")</f>
        <v>Concrete Pavement 13 inches</v>
      </c>
      <c r="M43" s="5">
        <f>IF($F$5="M",1.06,0.89)</f>
        <v>0.89</v>
      </c>
      <c r="N43" s="6"/>
    </row>
    <row r="44" spans="1:14" ht="12.75">
      <c r="A44" s="42"/>
      <c r="B44" s="43"/>
      <c r="C44" s="44"/>
      <c r="D44" s="44"/>
      <c r="E44" s="45"/>
      <c r="F44" s="46"/>
      <c r="G44" s="47"/>
      <c r="H44" s="47"/>
      <c r="I44" s="47"/>
      <c r="J44" s="47"/>
      <c r="K44" s="7"/>
      <c r="L44" s="4" t="str">
        <f>IF($F$5="M","Concrete Pavement 340 mm","Concrete Pavement 13 1/2 inches")</f>
        <v>Concrete Pavement 13 1/2 inches</v>
      </c>
      <c r="M44" s="5">
        <f>IF($F$5="M",1.1,0.92)</f>
        <v>0.92</v>
      </c>
      <c r="N44" s="6"/>
    </row>
    <row r="45" spans="1:14" ht="12.75">
      <c r="A45" s="42"/>
      <c r="B45" s="43"/>
      <c r="C45" s="44"/>
      <c r="D45" s="44"/>
      <c r="E45" s="45"/>
      <c r="F45" s="46"/>
      <c r="G45" s="47"/>
      <c r="H45" s="47"/>
      <c r="I45" s="47"/>
      <c r="J45" s="47"/>
      <c r="K45" s="7"/>
      <c r="L45" s="4" t="str">
        <f>IF($F$5="M","Concrete Pavement 360 mm","Concrete Pavement 14 inches")</f>
        <v>Concrete Pavement 14 inches</v>
      </c>
      <c r="M45" s="5">
        <f>IF($F$5="M",1.14,0.95)</f>
        <v>0.95</v>
      </c>
      <c r="N45" s="6"/>
    </row>
    <row r="46" spans="1:14" ht="12.75">
      <c r="A46" s="48"/>
      <c r="B46" s="48"/>
      <c r="C46" s="48"/>
      <c r="D46" s="48"/>
      <c r="E46" s="49"/>
      <c r="F46" s="48"/>
      <c r="G46" s="48"/>
      <c r="H46" s="48"/>
      <c r="I46" s="48"/>
      <c r="J46" s="48"/>
      <c r="K46" s="7"/>
      <c r="L46" s="4" t="str">
        <f>IF($F$5="M","Concrete Pavement 370 mm","Concrete Pavement 14 1/2 inches")</f>
        <v>Concrete Pavement 14 1/2 inches</v>
      </c>
      <c r="M46" s="5">
        <f>IF($F$5="M",1.17,0.98)</f>
        <v>0.98</v>
      </c>
      <c r="N46" s="6"/>
    </row>
    <row r="47" spans="1:14" ht="12.75">
      <c r="A47" s="50"/>
      <c r="B47" s="50"/>
      <c r="C47" s="50"/>
      <c r="D47" s="50"/>
      <c r="E47" s="51"/>
      <c r="F47" s="50"/>
      <c r="G47" s="50"/>
      <c r="H47" s="50"/>
      <c r="I47" s="50"/>
      <c r="J47" s="50"/>
      <c r="K47" s="7"/>
      <c r="L47" s="4" t="s">
        <v>60</v>
      </c>
      <c r="M47" s="5">
        <f>IF($F$5="M",334.65,10.2)</f>
        <v>10.2</v>
      </c>
      <c r="N47" s="6"/>
    </row>
    <row r="48" spans="1:14" ht="12.75">
      <c r="A48" s="50"/>
      <c r="B48" s="50"/>
      <c r="C48" s="50"/>
      <c r="D48" s="50"/>
      <c r="E48" s="51"/>
      <c r="F48" s="50"/>
      <c r="G48" s="50"/>
      <c r="H48" s="50"/>
      <c r="I48" s="50"/>
      <c r="J48" s="50"/>
      <c r="K48" s="7"/>
      <c r="L48" s="4" t="s">
        <v>59</v>
      </c>
      <c r="M48" s="5">
        <f>IF($F$5="M",2.65,2.4)</f>
        <v>2.4</v>
      </c>
      <c r="N48" s="6"/>
    </row>
    <row r="49" spans="1:14" ht="12.75">
      <c r="A49" s="50"/>
      <c r="B49" s="50"/>
      <c r="C49" s="50"/>
      <c r="D49" s="50"/>
      <c r="E49" s="51"/>
      <c r="F49" s="50"/>
      <c r="G49" s="50"/>
      <c r="H49" s="50"/>
      <c r="I49" s="50"/>
      <c r="J49" s="50"/>
      <c r="K49" s="7"/>
      <c r="L49" s="4" t="s">
        <v>64</v>
      </c>
      <c r="M49" s="5">
        <f>IF($F$5="M",2.65,2.4)</f>
        <v>2.4</v>
      </c>
      <c r="N49" s="6"/>
    </row>
    <row r="50" spans="1:14" ht="12.75">
      <c r="A50" s="50"/>
      <c r="B50" s="50"/>
      <c r="C50" s="50"/>
      <c r="D50" s="50"/>
      <c r="E50" s="51"/>
      <c r="F50" s="50"/>
      <c r="G50" s="50"/>
      <c r="H50" s="50"/>
      <c r="I50" s="50"/>
      <c r="J50" s="50"/>
      <c r="K50" s="7"/>
      <c r="L50" s="4" t="s">
        <v>65</v>
      </c>
      <c r="M50" s="5">
        <f>IF($F$5="M",2.65,2.4)</f>
        <v>2.4</v>
      </c>
      <c r="N50" s="6"/>
    </row>
    <row r="51" spans="11:13" ht="12.75">
      <c r="K51" s="7"/>
      <c r="L51" s="4"/>
      <c r="M51" s="5"/>
    </row>
    <row r="52" spans="11:13" ht="12.75">
      <c r="K52" s="7"/>
      <c r="L52" s="6"/>
      <c r="M52" s="6"/>
    </row>
    <row r="53" spans="11:13" ht="12.75">
      <c r="K53" s="7"/>
      <c r="L53" s="37"/>
      <c r="M53" s="37"/>
    </row>
    <row r="54" spans="11:13" ht="12.75">
      <c r="K54" s="7"/>
      <c r="L54" s="37"/>
      <c r="M54" s="37"/>
    </row>
    <row r="55" spans="12:13" ht="12.75">
      <c r="L55" s="37"/>
      <c r="M55" s="37"/>
    </row>
    <row r="56" spans="12:13" ht="12.75">
      <c r="L56" s="37"/>
      <c r="M56" s="37"/>
    </row>
    <row r="57" spans="12:13" ht="12.75">
      <c r="L57" s="37"/>
      <c r="M57" s="37"/>
    </row>
    <row r="58" spans="12:13" ht="12.75">
      <c r="L58" s="37"/>
      <c r="M58" s="37"/>
    </row>
    <row r="59" spans="12:13" ht="12.75">
      <c r="L59" s="37"/>
      <c r="M59" s="37"/>
    </row>
    <row r="60" spans="12:13" ht="12.75">
      <c r="L60" s="37"/>
      <c r="M60" s="37"/>
    </row>
    <row r="61" spans="12:13" ht="12.75">
      <c r="L61" s="37"/>
      <c r="M61" s="37"/>
    </row>
    <row r="62" spans="12:13" ht="12.75">
      <c r="L62" s="37"/>
      <c r="M62" s="37"/>
    </row>
    <row r="63" spans="12:13" ht="12.75">
      <c r="L63" s="37"/>
      <c r="M63" s="37"/>
    </row>
    <row r="64" spans="12:13" ht="12.75">
      <c r="L64" s="37"/>
      <c r="M64" s="37"/>
    </row>
    <row r="65" spans="12:13" ht="12.75">
      <c r="L65" s="37"/>
      <c r="M65" s="37"/>
    </row>
    <row r="66" spans="12:13" ht="12.75">
      <c r="L66" s="37"/>
      <c r="M66" s="37"/>
    </row>
    <row r="67" spans="12:13" ht="12.75">
      <c r="L67" s="37"/>
      <c r="M67" s="37"/>
    </row>
    <row r="68" spans="12:13" ht="12.75">
      <c r="L68" s="37"/>
      <c r="M68" s="37"/>
    </row>
    <row r="69" spans="12:13" ht="12.75">
      <c r="L69" s="37"/>
      <c r="M69" s="37"/>
    </row>
    <row r="70" ht="12.75">
      <c r="L70" s="37"/>
    </row>
    <row r="71" ht="12.75">
      <c r="L71" s="37"/>
    </row>
    <row r="72" ht="12.75">
      <c r="L72" s="37"/>
    </row>
  </sheetData>
  <sheetProtection password="BF11" sheet="1" objects="1" scenarios="1" selectLockedCells="1"/>
  <mergeCells count="4">
    <mergeCell ref="F3:H3"/>
    <mergeCell ref="F4:H4"/>
    <mergeCell ref="D5:E5"/>
    <mergeCell ref="B6:E6"/>
  </mergeCells>
  <dataValidations count="1">
    <dataValidation type="list" allowBlank="1" showInputMessage="1" showErrorMessage="1" promptTitle="Data Entry Restriction!" prompt="Please select one item from this drop down box. No other values will be accepted." errorTitle="Wrong data!" error="Please enter a value from the drop down list." sqref="B6:E6">
      <formula1>$L$7:$L$50</formula1>
    </dataValidation>
  </dataValidations>
  <printOptions/>
  <pageMargins left="1.06" right="0.5" top="0.5" bottom="0" header="0.5" footer="0"/>
  <pageSetup blackAndWhite="1" fitToHeight="1" fitToWidth="1" horizontalDpi="600" verticalDpi="600" orientation="portrait" scale="9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"/>
  <sheetViews>
    <sheetView showGridLines="0" showRowColHeaders="0" zoomScalePageLayoutView="0" workbookViewId="0" topLeftCell="A1">
      <selection activeCell="B6" sqref="B6:E6"/>
    </sheetView>
  </sheetViews>
  <sheetFormatPr defaultColWidth="9.140625" defaultRowHeight="12.75"/>
  <cols>
    <col min="1" max="1" width="13.00390625" style="0" customWidth="1"/>
    <col min="2" max="2" width="13.28125" style="0" customWidth="1"/>
    <col min="3" max="3" width="9.00390625" style="0" customWidth="1"/>
    <col min="4" max="4" width="9.28125" style="0" customWidth="1"/>
    <col min="5" max="5" width="11.00390625" style="1" customWidth="1"/>
    <col min="6" max="6" width="10.57421875" style="0" customWidth="1"/>
    <col min="7" max="8" width="16.00390625" style="0" bestFit="1" customWidth="1"/>
    <col min="11" max="11" width="3.57421875" style="0" customWidth="1"/>
    <col min="12" max="12" width="47.00390625" style="0" hidden="1" customWidth="1"/>
    <col min="13" max="13" width="8.28125" style="0" hidden="1" customWidth="1"/>
    <col min="14" max="14" width="7.140625" style="0" customWidth="1"/>
    <col min="15" max="16" width="9.140625" style="0" customWidth="1"/>
  </cols>
  <sheetData>
    <row r="1" spans="1:16" ht="15">
      <c r="A1" s="8"/>
      <c r="B1" s="8"/>
      <c r="C1" s="9" t="s">
        <v>67</v>
      </c>
      <c r="D1" s="8"/>
      <c r="E1" s="10"/>
      <c r="F1" s="8"/>
      <c r="G1" s="8"/>
      <c r="H1" s="8"/>
      <c r="I1" s="52"/>
      <c r="J1" s="52"/>
      <c r="K1" s="50"/>
      <c r="L1" s="50"/>
      <c r="M1" s="50"/>
      <c r="N1" s="50"/>
      <c r="O1" s="50"/>
      <c r="P1" s="50"/>
    </row>
    <row r="2" spans="1:16" ht="17.25" customHeight="1">
      <c r="A2" s="8"/>
      <c r="B2" s="8"/>
      <c r="C2" s="8"/>
      <c r="D2" s="8"/>
      <c r="E2" s="10"/>
      <c r="F2" s="8"/>
      <c r="G2" s="8"/>
      <c r="H2" s="8"/>
      <c r="I2" s="52"/>
      <c r="J2" s="52"/>
      <c r="K2" s="50"/>
      <c r="L2" s="50"/>
      <c r="M2" s="50"/>
      <c r="N2" s="50"/>
      <c r="O2" s="50"/>
      <c r="P2" s="50"/>
    </row>
    <row r="3" spans="1:16" ht="21" customHeight="1">
      <c r="A3" s="11"/>
      <c r="B3" s="12"/>
      <c r="C3" s="11"/>
      <c r="D3" s="11"/>
      <c r="E3" s="63" t="s">
        <v>42</v>
      </c>
      <c r="F3" s="97">
        <f>IF('Item 1'!F3:H3="","",'Item 1'!F3:H3)</f>
      </c>
      <c r="G3" s="97"/>
      <c r="H3" s="97"/>
      <c r="I3" s="53"/>
      <c r="J3" s="53"/>
      <c r="K3" s="50"/>
      <c r="L3" s="50"/>
      <c r="M3" s="50"/>
      <c r="N3" s="50"/>
      <c r="O3" s="50"/>
      <c r="P3" s="50"/>
    </row>
    <row r="4" spans="1:16" ht="21" customHeight="1">
      <c r="A4" s="13" t="s">
        <v>43</v>
      </c>
      <c r="B4" s="82">
        <f>IF('Item 1'!B4="","",'Item 1'!B4)</f>
      </c>
      <c r="C4" s="38"/>
      <c r="D4" s="11"/>
      <c r="E4" s="64" t="s">
        <v>41</v>
      </c>
      <c r="F4" s="98">
        <f>IF('Item 1'!F4:H4="","",'Item 1'!F4:H4)</f>
      </c>
      <c r="G4" s="99"/>
      <c r="H4" s="100"/>
      <c r="I4" s="53"/>
      <c r="J4" s="53"/>
      <c r="K4" s="50"/>
      <c r="L4" s="57"/>
      <c r="M4" s="50"/>
      <c r="N4" s="50"/>
      <c r="O4" s="50"/>
      <c r="P4" s="50"/>
    </row>
    <row r="5" spans="1:16" ht="21" customHeight="1">
      <c r="A5" s="79" t="s">
        <v>44</v>
      </c>
      <c r="B5" s="15"/>
      <c r="C5" s="81">
        <f>IF('Item 1'!C5="","",'Item 1'!C5)</f>
      </c>
      <c r="D5" s="95" t="s">
        <v>46</v>
      </c>
      <c r="E5" s="96"/>
      <c r="F5" s="80">
        <f>IF('Item 1'!F5="","",'Item 1'!F5)</f>
      </c>
      <c r="G5" s="65" t="s">
        <v>45</v>
      </c>
      <c r="H5" s="60">
        <f>IF(B6="","",VLOOKUP(B6,L7:M50,2,FALSE))</f>
      </c>
      <c r="I5" s="53"/>
      <c r="J5" s="53"/>
      <c r="K5" s="4"/>
      <c r="L5" s="56"/>
      <c r="N5" s="4"/>
      <c r="O5" s="50"/>
      <c r="P5" s="50"/>
    </row>
    <row r="6" spans="1:16" ht="21" customHeight="1">
      <c r="A6" s="79" t="s">
        <v>20</v>
      </c>
      <c r="B6" s="88"/>
      <c r="C6" s="89"/>
      <c r="D6" s="89"/>
      <c r="E6" s="90"/>
      <c r="F6" s="58"/>
      <c r="H6" s="59"/>
      <c r="I6" s="53"/>
      <c r="J6" s="53"/>
      <c r="K6" s="4"/>
      <c r="L6" s="4" t="s">
        <v>21</v>
      </c>
      <c r="M6" s="4" t="s">
        <v>37</v>
      </c>
      <c r="O6" s="50"/>
      <c r="P6" s="4"/>
    </row>
    <row r="7" spans="1:16" ht="12.75">
      <c r="A7" s="11"/>
      <c r="B7" s="11"/>
      <c r="C7" s="17"/>
      <c r="D7" s="11"/>
      <c r="E7" s="7"/>
      <c r="F7" s="11"/>
      <c r="G7" s="11"/>
      <c r="H7" s="11"/>
      <c r="I7" s="53"/>
      <c r="J7" s="53"/>
      <c r="K7" s="4"/>
      <c r="L7" s="4" t="s">
        <v>22</v>
      </c>
      <c r="M7" s="5">
        <f>IF($F$5="M",0.33,0.25)</f>
        <v>0.25</v>
      </c>
      <c r="O7" s="50"/>
      <c r="P7" s="5"/>
    </row>
    <row r="8" spans="1:16" ht="12.75">
      <c r="A8" s="18" t="s">
        <v>0</v>
      </c>
      <c r="B8" s="18" t="s">
        <v>18</v>
      </c>
      <c r="C8" s="19" t="s">
        <v>2</v>
      </c>
      <c r="D8" s="18" t="s">
        <v>5</v>
      </c>
      <c r="E8" s="20" t="s">
        <v>8</v>
      </c>
      <c r="F8" s="18" t="s">
        <v>10</v>
      </c>
      <c r="G8" s="18" t="s">
        <v>13</v>
      </c>
      <c r="H8" s="18" t="s">
        <v>8</v>
      </c>
      <c r="I8" s="54"/>
      <c r="J8" s="54"/>
      <c r="K8" s="4"/>
      <c r="L8" s="4" t="s">
        <v>61</v>
      </c>
      <c r="M8" s="5">
        <f>IF($F$5="M",0.33,0.25)</f>
        <v>0.25</v>
      </c>
      <c r="O8" s="50"/>
      <c r="P8" s="5"/>
    </row>
    <row r="9" spans="1:16" ht="12.75">
      <c r="A9" s="21"/>
      <c r="B9" s="22" t="s">
        <v>16</v>
      </c>
      <c r="C9" s="22" t="s">
        <v>3</v>
      </c>
      <c r="D9" s="22" t="s">
        <v>6</v>
      </c>
      <c r="E9" s="23"/>
      <c r="F9" s="22" t="s">
        <v>11</v>
      </c>
      <c r="G9" s="22" t="s">
        <v>14</v>
      </c>
      <c r="H9" s="22" t="s">
        <v>9</v>
      </c>
      <c r="I9" s="54"/>
      <c r="J9" s="54"/>
      <c r="K9" s="4"/>
      <c r="L9" s="4" t="s">
        <v>19</v>
      </c>
      <c r="M9" s="5">
        <f>IF($F$5="M",0.43,0.33)</f>
        <v>0.33</v>
      </c>
      <c r="O9" s="50"/>
      <c r="P9" s="5"/>
    </row>
    <row r="10" spans="1:16" ht="12.75">
      <c r="A10" s="24" t="s">
        <v>1</v>
      </c>
      <c r="B10" s="24" t="s">
        <v>17</v>
      </c>
      <c r="C10" s="24" t="s">
        <v>4</v>
      </c>
      <c r="D10" s="24" t="s">
        <v>7</v>
      </c>
      <c r="E10" s="25" t="s">
        <v>9</v>
      </c>
      <c r="F10" s="24" t="s">
        <v>12</v>
      </c>
      <c r="G10" s="24" t="s">
        <v>15</v>
      </c>
      <c r="H10" s="24" t="s">
        <v>15</v>
      </c>
      <c r="I10" s="54"/>
      <c r="J10" s="54"/>
      <c r="K10" s="4"/>
      <c r="L10" s="4" t="s">
        <v>62</v>
      </c>
      <c r="M10" s="5">
        <f>IF($F$5="M",0.43,0.33)</f>
        <v>0.33</v>
      </c>
      <c r="O10" s="50"/>
      <c r="P10" s="5"/>
    </row>
    <row r="11" spans="1:16" ht="22.5" customHeight="1">
      <c r="A11" s="26"/>
      <c r="B11" s="27"/>
      <c r="C11" s="61">
        <f>IF(H5="","",ABS($H$5))</f>
      </c>
      <c r="D11" s="28"/>
      <c r="E11" s="29">
        <f>IF(D11="","",+D11)</f>
      </c>
      <c r="F11" s="30">
        <f>+IF(B11="","",(B11-$C$5))</f>
      </c>
      <c r="G11" s="62">
        <f>IF(C11="","",IF(F11="","",+C11*D11*F11))</f>
      </c>
      <c r="H11" s="62">
        <f>+G11</f>
      </c>
      <c r="I11" s="54"/>
      <c r="J11" s="54"/>
      <c r="K11" s="4"/>
      <c r="L11" s="4" t="s">
        <v>24</v>
      </c>
      <c r="M11" s="5">
        <f>IF($F$5="M",0.38,0.29)</f>
        <v>0.29</v>
      </c>
      <c r="O11" s="50"/>
      <c r="P11" s="5"/>
    </row>
    <row r="12" spans="1:16" ht="22.5" customHeight="1">
      <c r="A12" s="26"/>
      <c r="B12" s="31"/>
      <c r="C12" s="61">
        <f>IF(B12="","",ABS($H$5))</f>
      </c>
      <c r="D12" s="16"/>
      <c r="E12" s="29">
        <f>IF(D12="","",+D12+E11)</f>
      </c>
      <c r="F12" s="30">
        <f aca="true" t="shared" si="0" ref="F12:F38">+IF(B12="","",(B12-$C$5))</f>
      </c>
      <c r="G12" s="62">
        <f>IF(C12="","",IF(F12="","",+C12*D12*F12))</f>
      </c>
      <c r="H12" s="62">
        <f>IF(G12="","",+H11+G12)</f>
      </c>
      <c r="I12" s="55"/>
      <c r="J12" s="55"/>
      <c r="K12" s="4"/>
      <c r="L12" s="4" t="s">
        <v>25</v>
      </c>
      <c r="M12" s="5">
        <f>IF($F$5="M",0.39,0.3)</f>
        <v>0.3</v>
      </c>
      <c r="O12" s="50"/>
      <c r="P12" s="5"/>
    </row>
    <row r="13" spans="1:16" ht="22.5" customHeight="1">
      <c r="A13" s="26"/>
      <c r="B13" s="31"/>
      <c r="C13" s="61">
        <f aca="true" t="shared" si="1" ref="C13:C38">IF(B13="","",ABS($H$5))</f>
      </c>
      <c r="D13" s="16"/>
      <c r="E13" s="29">
        <f aca="true" t="shared" si="2" ref="E13:E38">IF(D13="","",+D13+E12)</f>
      </c>
      <c r="F13" s="30">
        <f t="shared" si="0"/>
      </c>
      <c r="G13" s="62">
        <f>IF(C13="","",IF(F13="","",+C13*D13*F13))</f>
      </c>
      <c r="H13" s="62">
        <f aca="true" t="shared" si="3" ref="H13:H38">IF(G13="","",+H12+G13)</f>
      </c>
      <c r="I13" s="55"/>
      <c r="J13" s="55"/>
      <c r="K13" s="4"/>
      <c r="L13" s="4" t="s">
        <v>63</v>
      </c>
      <c r="M13" s="5">
        <f>IF($F$5="M",0.36,0.3)</f>
        <v>0.3</v>
      </c>
      <c r="O13" s="50"/>
      <c r="P13" s="5"/>
    </row>
    <row r="14" spans="1:16" ht="22.5" customHeight="1">
      <c r="A14" s="26"/>
      <c r="B14" s="31"/>
      <c r="C14" s="61">
        <f t="shared" si="1"/>
      </c>
      <c r="D14" s="16"/>
      <c r="E14" s="29">
        <f t="shared" si="2"/>
      </c>
      <c r="F14" s="30">
        <f t="shared" si="0"/>
      </c>
      <c r="G14" s="62">
        <f>IF(C14="","",IF(F14="","",+C14*D14*F14))</f>
      </c>
      <c r="H14" s="62">
        <f t="shared" si="3"/>
      </c>
      <c r="I14" s="55"/>
      <c r="J14" s="55"/>
      <c r="K14" s="66"/>
      <c r="L14" s="4" t="str">
        <f>IF($F$5="M","Concrete Placement:  75mm","Concrete Placement:  3 inches")</f>
        <v>Concrete Placement:  3 inches</v>
      </c>
      <c r="M14" s="5">
        <f>IF($F$5="M",0.36,0.3)</f>
        <v>0.3</v>
      </c>
      <c r="O14" s="50"/>
      <c r="P14" s="67"/>
    </row>
    <row r="15" spans="1:16" ht="22.5" customHeight="1">
      <c r="A15" s="26"/>
      <c r="B15" s="31"/>
      <c r="C15" s="61">
        <f t="shared" si="1"/>
      </c>
      <c r="D15" s="16"/>
      <c r="E15" s="29">
        <f t="shared" si="2"/>
      </c>
      <c r="F15" s="30">
        <f t="shared" si="0"/>
      </c>
      <c r="G15" s="62">
        <f>IF(C15="","",IF(F15="","",+C15*D15*F15))</f>
      </c>
      <c r="H15" s="62">
        <f t="shared" si="3"/>
      </c>
      <c r="I15" s="55"/>
      <c r="J15" s="55"/>
      <c r="K15" s="66"/>
      <c r="L15" s="4" t="str">
        <f>IF($F$5="M","","Concrete Placement:  3.5 inches")</f>
        <v>Concrete Placement:  3.5 inches</v>
      </c>
      <c r="M15" s="5">
        <f>IF($F$5="M",0.39,0.33)</f>
        <v>0.33</v>
      </c>
      <c r="O15" s="50"/>
      <c r="P15" s="67"/>
    </row>
    <row r="16" spans="1:16" ht="22.5" customHeight="1">
      <c r="A16" s="26"/>
      <c r="B16" s="31"/>
      <c r="C16" s="61">
        <f t="shared" si="1"/>
      </c>
      <c r="D16" s="16"/>
      <c r="E16" s="29">
        <f t="shared" si="2"/>
      </c>
      <c r="F16" s="30">
        <f t="shared" si="0"/>
      </c>
      <c r="G16" s="62">
        <f aca="true" t="shared" si="4" ref="G16:G38">IF(F16="","",+C16*D16*F16)</f>
      </c>
      <c r="H16" s="62">
        <f t="shared" si="3"/>
      </c>
      <c r="I16" s="55"/>
      <c r="J16" s="55"/>
      <c r="K16" s="4"/>
      <c r="L16" s="4" t="str">
        <f>IF($F$5="M","Concrete Placement:  100mm","Concrete Placement:  4 inches")</f>
        <v>Concrete Placement:  4 inches</v>
      </c>
      <c r="M16" s="5">
        <f>IF($F$5="M",0.43,0.36)</f>
        <v>0.36</v>
      </c>
      <c r="O16" s="50"/>
      <c r="P16" s="5"/>
    </row>
    <row r="17" spans="1:16" ht="22.5" customHeight="1">
      <c r="A17" s="26"/>
      <c r="B17" s="31"/>
      <c r="C17" s="61">
        <f t="shared" si="1"/>
      </c>
      <c r="D17" s="16"/>
      <c r="E17" s="29">
        <f t="shared" si="2"/>
      </c>
      <c r="F17" s="30">
        <f t="shared" si="0"/>
      </c>
      <c r="G17" s="62">
        <f t="shared" si="4"/>
      </c>
      <c r="H17" s="62">
        <f t="shared" si="3"/>
      </c>
      <c r="I17" s="55"/>
      <c r="J17" s="55"/>
      <c r="K17" s="66"/>
      <c r="L17" s="4" t="str">
        <f>IF($F$5="M","","Concrete Placement:  4.5 inches")</f>
        <v>Concrete Placement:  4.5 inches</v>
      </c>
      <c r="M17" s="5">
        <f>IF($F$5="M",0.46,0.39)</f>
        <v>0.39</v>
      </c>
      <c r="O17" s="50"/>
      <c r="P17" s="67"/>
    </row>
    <row r="18" spans="1:16" ht="22.5" customHeight="1">
      <c r="A18" s="26"/>
      <c r="B18" s="31"/>
      <c r="C18" s="61">
        <f t="shared" si="1"/>
      </c>
      <c r="D18" s="16"/>
      <c r="E18" s="29">
        <f t="shared" si="2"/>
      </c>
      <c r="F18" s="30">
        <f t="shared" si="0"/>
      </c>
      <c r="G18" s="62">
        <f t="shared" si="4"/>
      </c>
      <c r="H18" s="62">
        <f t="shared" si="3"/>
      </c>
      <c r="I18" s="55"/>
      <c r="J18" s="55"/>
      <c r="K18" s="4"/>
      <c r="L18" s="4" t="str">
        <f>IF($F$5="M","Concrete Placement:  140mm","Concrete Placement:  5 inches")</f>
        <v>Concrete Placement:  5 inches</v>
      </c>
      <c r="M18" s="5">
        <f>IF($F$5="M",0.5,0.42)</f>
        <v>0.42</v>
      </c>
      <c r="O18" s="50"/>
      <c r="P18" s="5"/>
    </row>
    <row r="19" spans="1:16" ht="22.5" customHeight="1">
      <c r="A19" s="26"/>
      <c r="B19" s="31"/>
      <c r="C19" s="61">
        <f t="shared" si="1"/>
      </c>
      <c r="D19" s="16"/>
      <c r="E19" s="29">
        <f t="shared" si="2"/>
      </c>
      <c r="F19" s="30">
        <f t="shared" si="0"/>
      </c>
      <c r="G19" s="62">
        <f t="shared" si="4"/>
      </c>
      <c r="H19" s="62">
        <f t="shared" si="3"/>
      </c>
      <c r="I19" s="55"/>
      <c r="J19" s="55"/>
      <c r="K19" s="66"/>
      <c r="L19" s="4" t="str">
        <f>IF($F$5="M","","Concrete Placement:  5.5 inches")</f>
        <v>Concrete Placement:  5.5 inches</v>
      </c>
      <c r="M19" s="5">
        <f>IF($F$5="M",0.53,0.45)</f>
        <v>0.45</v>
      </c>
      <c r="O19" s="50"/>
      <c r="P19" s="67"/>
    </row>
    <row r="20" spans="1:16" ht="21" customHeight="1">
      <c r="A20" s="26"/>
      <c r="B20" s="31"/>
      <c r="C20" s="61">
        <f t="shared" si="1"/>
      </c>
      <c r="D20" s="16"/>
      <c r="E20" s="29">
        <f t="shared" si="2"/>
      </c>
      <c r="F20" s="30">
        <f t="shared" si="0"/>
      </c>
      <c r="G20" s="62">
        <f t="shared" si="4"/>
      </c>
      <c r="H20" s="62">
        <f t="shared" si="3"/>
      </c>
      <c r="I20" s="55"/>
      <c r="J20" s="55"/>
      <c r="K20" s="4"/>
      <c r="L20" s="4" t="str">
        <f>IF($F$5="M","Concrete Placement:  160mm","Concrete Placement:  6 inches")</f>
        <v>Concrete Placement:  6 inches</v>
      </c>
      <c r="M20" s="5">
        <f>IF($F$5="M",0.57,0.48)</f>
        <v>0.48</v>
      </c>
      <c r="O20" s="50"/>
      <c r="P20" s="5"/>
    </row>
    <row r="21" spans="1:16" ht="21" customHeight="1">
      <c r="A21" s="26"/>
      <c r="B21" s="31"/>
      <c r="C21" s="61">
        <f t="shared" si="1"/>
      </c>
      <c r="D21" s="16"/>
      <c r="E21" s="29">
        <f t="shared" si="2"/>
      </c>
      <c r="F21" s="30">
        <f t="shared" si="0"/>
      </c>
      <c r="G21" s="62">
        <f t="shared" si="4"/>
      </c>
      <c r="H21" s="62">
        <f t="shared" si="3"/>
      </c>
      <c r="I21" s="55"/>
      <c r="J21" s="55"/>
      <c r="K21" s="66"/>
      <c r="L21" s="4" t="str">
        <f>IF($F$5="M","Bonded Concrete Pavement (75mm)","Bonded Concrete Pavement (3 inches)")</f>
        <v>Bonded Concrete Pavement (3 inches)</v>
      </c>
      <c r="M21" s="5">
        <f>IF($F$5="M",0.36,0.3)</f>
        <v>0.3</v>
      </c>
      <c r="O21" s="50"/>
      <c r="P21" s="67"/>
    </row>
    <row r="22" spans="1:16" ht="21" customHeight="1">
      <c r="A22" s="26"/>
      <c r="B22" s="31"/>
      <c r="C22" s="61">
        <f t="shared" si="1"/>
      </c>
      <c r="D22" s="16"/>
      <c r="E22" s="29">
        <f t="shared" si="2"/>
      </c>
      <c r="F22" s="30">
        <f t="shared" si="0"/>
      </c>
      <c r="G22" s="62">
        <f t="shared" si="4"/>
      </c>
      <c r="H22" s="62">
        <f t="shared" si="3"/>
      </c>
      <c r="I22" s="55"/>
      <c r="J22" s="55"/>
      <c r="K22" s="4"/>
      <c r="L22" s="4" t="str">
        <f>IF($F$5="M","","Bonded Concrete Pavement (3.5 inches)")</f>
        <v>Bonded Concrete Pavement (3.5 inches)</v>
      </c>
      <c r="M22" s="5">
        <f>IF($F$5="M",0.39,0.33)</f>
        <v>0.33</v>
      </c>
      <c r="O22" s="50"/>
      <c r="P22" s="5"/>
    </row>
    <row r="23" spans="1:16" ht="22.5" customHeight="1">
      <c r="A23" s="26"/>
      <c r="B23" s="31"/>
      <c r="C23" s="61">
        <f t="shared" si="1"/>
      </c>
      <c r="D23" s="16"/>
      <c r="E23" s="29">
        <f t="shared" si="2"/>
      </c>
      <c r="F23" s="30">
        <f t="shared" si="0"/>
      </c>
      <c r="G23" s="62">
        <f t="shared" si="4"/>
      </c>
      <c r="H23" s="62">
        <f t="shared" si="3"/>
      </c>
      <c r="I23" s="55"/>
      <c r="J23" s="55"/>
      <c r="K23" s="66"/>
      <c r="L23" s="4" t="str">
        <f>IF($F$5="M","Bonded Concrete Pavement (100mm)","Bonded Concrete Pavement (4 inches)")</f>
        <v>Bonded Concrete Pavement (4 inches)</v>
      </c>
      <c r="M23" s="5">
        <f>IF($F$5="M",0.43,0.36)</f>
        <v>0.36</v>
      </c>
      <c r="O23" s="50"/>
      <c r="P23" s="67"/>
    </row>
    <row r="24" spans="1:16" ht="22.5" customHeight="1">
      <c r="A24" s="26"/>
      <c r="B24" s="31"/>
      <c r="C24" s="61">
        <f t="shared" si="1"/>
      </c>
      <c r="D24" s="16"/>
      <c r="E24" s="29">
        <f t="shared" si="2"/>
      </c>
      <c r="F24" s="30">
        <f t="shared" si="0"/>
      </c>
      <c r="G24" s="62">
        <f t="shared" si="4"/>
      </c>
      <c r="H24" s="62">
        <f t="shared" si="3"/>
      </c>
      <c r="I24" s="55"/>
      <c r="J24" s="55"/>
      <c r="K24" s="4"/>
      <c r="L24" s="4" t="str">
        <f>IF($F$5="M","","Bonded Concrete Pavement (4.5 inches)")</f>
        <v>Bonded Concrete Pavement (4.5 inches)</v>
      </c>
      <c r="M24" s="5">
        <f>IF($F$5="M",0.46,0.39)</f>
        <v>0.39</v>
      </c>
      <c r="O24" s="50"/>
      <c r="P24" s="5"/>
    </row>
    <row r="25" spans="1:16" ht="22.5" customHeight="1">
      <c r="A25" s="26"/>
      <c r="B25" s="31"/>
      <c r="C25" s="61">
        <f t="shared" si="1"/>
      </c>
      <c r="D25" s="16"/>
      <c r="E25" s="29">
        <f t="shared" si="2"/>
      </c>
      <c r="F25" s="30">
        <f t="shared" si="0"/>
      </c>
      <c r="G25" s="62">
        <f t="shared" si="4"/>
      </c>
      <c r="H25" s="62">
        <f t="shared" si="3"/>
      </c>
      <c r="I25" s="55"/>
      <c r="J25" s="55"/>
      <c r="K25" s="66"/>
      <c r="L25" s="4" t="str">
        <f>IF($F$5="M","Bonded Concrete Pavement (140mm)","Bonded Concrete Pavement (5 inches)")</f>
        <v>Bonded Concrete Pavement (5 inches)</v>
      </c>
      <c r="M25" s="5">
        <f>IF($F$5="M",0.5,0.42)</f>
        <v>0.42</v>
      </c>
      <c r="O25" s="50"/>
      <c r="P25" s="67"/>
    </row>
    <row r="26" spans="1:16" ht="22.5" customHeight="1">
      <c r="A26" s="26"/>
      <c r="B26" s="31"/>
      <c r="C26" s="61">
        <f t="shared" si="1"/>
      </c>
      <c r="D26" s="16"/>
      <c r="E26" s="29">
        <f t="shared" si="2"/>
      </c>
      <c r="F26" s="30">
        <f t="shared" si="0"/>
      </c>
      <c r="G26" s="62">
        <f t="shared" si="4"/>
      </c>
      <c r="H26" s="62">
        <f t="shared" si="3"/>
      </c>
      <c r="I26" s="55"/>
      <c r="J26" s="55"/>
      <c r="K26" s="4"/>
      <c r="L26" s="4" t="str">
        <f>IF($F$5="M","","Bonded Concrete Pavement (5.5 inches)")</f>
        <v>Bonded Concrete Pavement (5.5 inches)</v>
      </c>
      <c r="M26" s="5">
        <f>IF($F$5="M",0.53,0.45)</f>
        <v>0.45</v>
      </c>
      <c r="O26" s="50"/>
      <c r="P26" s="5"/>
    </row>
    <row r="27" spans="1:16" ht="22.5" customHeight="1">
      <c r="A27" s="26"/>
      <c r="B27" s="31"/>
      <c r="C27" s="61">
        <f t="shared" si="1"/>
      </c>
      <c r="D27" s="16"/>
      <c r="E27" s="29">
        <f t="shared" si="2"/>
      </c>
      <c r="F27" s="30">
        <f t="shared" si="0"/>
      </c>
      <c r="G27" s="62">
        <f t="shared" si="4"/>
      </c>
      <c r="H27" s="62">
        <f t="shared" si="3"/>
      </c>
      <c r="I27" s="55"/>
      <c r="J27" s="55"/>
      <c r="K27" s="66"/>
      <c r="L27" s="4" t="str">
        <f>IF($F$5="M","Bonded Concrete Pavement (160mm)","Bonded Concrete Pavement (6 inches)")</f>
        <v>Bonded Concrete Pavement (6 inches)</v>
      </c>
      <c r="M27" s="5">
        <f>IF($F$5="M",0.57,0.48)</f>
        <v>0.48</v>
      </c>
      <c r="O27" s="50"/>
      <c r="P27" s="67"/>
    </row>
    <row r="28" spans="1:16" ht="22.5" customHeight="1">
      <c r="A28" s="26"/>
      <c r="B28" s="31"/>
      <c r="C28" s="61">
        <f t="shared" si="1"/>
      </c>
      <c r="D28" s="16"/>
      <c r="E28" s="29">
        <f t="shared" si="2"/>
      </c>
      <c r="F28" s="30">
        <f t="shared" si="0"/>
      </c>
      <c r="G28" s="62">
        <f t="shared" si="4"/>
      </c>
      <c r="H28" s="62">
        <f t="shared" si="3"/>
      </c>
      <c r="I28" s="55"/>
      <c r="J28" s="55"/>
      <c r="K28" s="4"/>
      <c r="L28" s="4" t="str">
        <f>IF($F$5="M","Concrete Pavement 160 mm","Concrete Pavement 6 inches")</f>
        <v>Concrete Pavement 6 inches</v>
      </c>
      <c r="M28" s="5">
        <f>IF($F$5="M",0.58,0.48)</f>
        <v>0.48</v>
      </c>
      <c r="O28" s="50"/>
      <c r="P28" s="5"/>
    </row>
    <row r="29" spans="1:16" ht="22.5" customHeight="1">
      <c r="A29" s="26"/>
      <c r="B29" s="31"/>
      <c r="C29" s="61">
        <f t="shared" si="1"/>
      </c>
      <c r="D29" s="16"/>
      <c r="E29" s="29">
        <f t="shared" si="2"/>
      </c>
      <c r="F29" s="30">
        <f t="shared" si="0"/>
      </c>
      <c r="G29" s="62">
        <f t="shared" si="4"/>
      </c>
      <c r="H29" s="62">
        <f t="shared" si="3"/>
      </c>
      <c r="I29" s="55"/>
      <c r="J29" s="55"/>
      <c r="K29" s="4"/>
      <c r="L29" s="4" t="str">
        <f>IF($F$5="M","","Concrete Pavement 6.5 inches")</f>
        <v>Concrete Pavement 6.5 inches</v>
      </c>
      <c r="M29" s="5">
        <f>IF($F$5="M",0.61,0.51)</f>
        <v>0.51</v>
      </c>
      <c r="O29" s="50"/>
      <c r="P29" s="5"/>
    </row>
    <row r="30" spans="1:16" ht="22.5" customHeight="1">
      <c r="A30" s="26"/>
      <c r="B30" s="31"/>
      <c r="C30" s="61">
        <f t="shared" si="1"/>
      </c>
      <c r="D30" s="16"/>
      <c r="E30" s="29">
        <f t="shared" si="2"/>
      </c>
      <c r="F30" s="30">
        <f t="shared" si="0"/>
      </c>
      <c r="G30" s="62">
        <f t="shared" si="4"/>
      </c>
      <c r="H30" s="62">
        <f t="shared" si="3"/>
      </c>
      <c r="I30" s="55"/>
      <c r="J30" s="55"/>
      <c r="K30" s="4"/>
      <c r="L30" s="4" t="str">
        <f>IF($F$5="M","Concrete Pavement 180 mm","Concrete Pavement 7 inches")</f>
        <v>Concrete Pavement 7 inches</v>
      </c>
      <c r="M30" s="5">
        <f>IF($F$5="M",0.65,0.54)</f>
        <v>0.54</v>
      </c>
      <c r="O30" s="50"/>
      <c r="P30" s="5"/>
    </row>
    <row r="31" spans="1:16" ht="22.5" customHeight="1">
      <c r="A31" s="26"/>
      <c r="B31" s="31"/>
      <c r="C31" s="61">
        <f t="shared" si="1"/>
      </c>
      <c r="D31" s="16"/>
      <c r="E31" s="29">
        <f t="shared" si="2"/>
      </c>
      <c r="F31" s="30">
        <f t="shared" si="0"/>
      </c>
      <c r="G31" s="62">
        <f t="shared" si="4"/>
      </c>
      <c r="H31" s="62">
        <f t="shared" si="3"/>
      </c>
      <c r="I31" s="55"/>
      <c r="J31" s="55"/>
      <c r="K31" s="4"/>
      <c r="L31" s="4" t="str">
        <f>IF($F$5="M","Concrete Pavement 190 mm","Concrete Pavement 7.5 inches")</f>
        <v>Concrete Pavement 7.5 inches</v>
      </c>
      <c r="M31" s="5">
        <f>IF($F$5="M",0.69,0.57)</f>
        <v>0.57</v>
      </c>
      <c r="O31" s="50"/>
      <c r="P31" s="5"/>
    </row>
    <row r="32" spans="1:16" ht="22.5" customHeight="1">
      <c r="A32" s="26"/>
      <c r="B32" s="31"/>
      <c r="C32" s="61">
        <f t="shared" si="1"/>
      </c>
      <c r="D32" s="16"/>
      <c r="E32" s="29">
        <f t="shared" si="2"/>
      </c>
      <c r="F32" s="30">
        <f t="shared" si="0"/>
      </c>
      <c r="G32" s="62">
        <f t="shared" si="4"/>
      </c>
      <c r="H32" s="62">
        <f t="shared" si="3"/>
      </c>
      <c r="I32" s="55"/>
      <c r="J32" s="55"/>
      <c r="K32" s="4"/>
      <c r="L32" s="4" t="str">
        <f>IF($F$5="M","Concrete Pavement 200 mm","Concrete Pavement 8 inches")</f>
        <v>Concrete Pavement 8 inches</v>
      </c>
      <c r="M32" s="5">
        <f>IF($F$5="M",0.72,0.6)</f>
        <v>0.6</v>
      </c>
      <c r="O32" s="50"/>
      <c r="P32" s="5"/>
    </row>
    <row r="33" spans="1:16" ht="22.5" customHeight="1">
      <c r="A33" s="26"/>
      <c r="B33" s="31"/>
      <c r="C33" s="61">
        <f t="shared" si="1"/>
      </c>
      <c r="D33" s="16"/>
      <c r="E33" s="29">
        <f t="shared" si="2"/>
      </c>
      <c r="F33" s="30">
        <f t="shared" si="0"/>
      </c>
      <c r="G33" s="62">
        <f t="shared" si="4"/>
      </c>
      <c r="H33" s="62">
        <f t="shared" si="3"/>
      </c>
      <c r="I33" s="55"/>
      <c r="J33" s="55"/>
      <c r="K33" s="6"/>
      <c r="L33" s="4" t="str">
        <f>IF($F$5="M","Concrete Pavement 220 mm","Concrete Pavement 8 1/2 inches")</f>
        <v>Concrete Pavement 8 1/2 inches</v>
      </c>
      <c r="M33" s="5">
        <f>IF($F$5="M",0.76,0.63)</f>
        <v>0.63</v>
      </c>
      <c r="N33" s="6"/>
      <c r="O33" s="50"/>
      <c r="P33" s="50"/>
    </row>
    <row r="34" spans="1:16" ht="22.5" customHeight="1">
      <c r="A34" s="26"/>
      <c r="B34" s="31"/>
      <c r="C34" s="61">
        <f t="shared" si="1"/>
      </c>
      <c r="D34" s="16"/>
      <c r="E34" s="29">
        <f t="shared" si="2"/>
      </c>
      <c r="F34" s="30">
        <f t="shared" si="0"/>
      </c>
      <c r="G34" s="62">
        <f t="shared" si="4"/>
      </c>
      <c r="H34" s="62">
        <f t="shared" si="3"/>
      </c>
      <c r="I34" s="55"/>
      <c r="J34" s="55"/>
      <c r="K34" s="7"/>
      <c r="L34" s="4" t="str">
        <f>IF($F$5="M","Concrete Pavement 230 mm","Concrete Pavement 9 inches")</f>
        <v>Concrete Pavement 9 inches</v>
      </c>
      <c r="M34" s="5">
        <f>IF($F$5="M",0.79,0.66)</f>
        <v>0.66</v>
      </c>
      <c r="N34" s="6"/>
      <c r="O34" s="50"/>
      <c r="P34" s="50"/>
    </row>
    <row r="35" spans="1:16" ht="22.5" customHeight="1">
      <c r="A35" s="26"/>
      <c r="B35" s="31"/>
      <c r="C35" s="61">
        <f t="shared" si="1"/>
      </c>
      <c r="D35" s="16"/>
      <c r="E35" s="29">
        <f t="shared" si="2"/>
      </c>
      <c r="F35" s="30">
        <f t="shared" si="0"/>
      </c>
      <c r="G35" s="62">
        <f t="shared" si="4"/>
      </c>
      <c r="H35" s="62">
        <f t="shared" si="3"/>
      </c>
      <c r="I35" s="55"/>
      <c r="J35" s="55"/>
      <c r="K35" s="7"/>
      <c r="L35" s="4" t="str">
        <f>IF($F$5="M","Concrete Pavement 240 mm","Concrete Pavement 9 1/2 inches")</f>
        <v>Concrete Pavement 9 1/2 inches</v>
      </c>
      <c r="M35" s="5">
        <f>IF($F$5="M",0.82,0.69)</f>
        <v>0.69</v>
      </c>
      <c r="N35" s="6"/>
      <c r="O35" s="50"/>
      <c r="P35" s="50"/>
    </row>
    <row r="36" spans="1:16" ht="22.5" customHeight="1">
      <c r="A36" s="26"/>
      <c r="B36" s="31"/>
      <c r="C36" s="61">
        <f t="shared" si="1"/>
      </c>
      <c r="D36" s="16"/>
      <c r="E36" s="29">
        <f t="shared" si="2"/>
      </c>
      <c r="F36" s="30">
        <f t="shared" si="0"/>
      </c>
      <c r="G36" s="62">
        <f t="shared" si="4"/>
      </c>
      <c r="H36" s="62">
        <f t="shared" si="3"/>
      </c>
      <c r="I36" s="55"/>
      <c r="J36" s="55"/>
      <c r="K36" s="7"/>
      <c r="L36" s="4" t="str">
        <f>IF($F$5="M","Concrete Pavement 250 mm","Concrete Pavement 10 inches")</f>
        <v>Concrete Pavement 10 inches</v>
      </c>
      <c r="M36" s="5">
        <f>IF($F$5="M",0.86,0.72)</f>
        <v>0.72</v>
      </c>
      <c r="N36" s="6"/>
      <c r="O36" s="50"/>
      <c r="P36" s="50"/>
    </row>
    <row r="37" spans="1:16" ht="22.5" customHeight="1">
      <c r="A37" s="26"/>
      <c r="B37" s="31"/>
      <c r="C37" s="61">
        <f t="shared" si="1"/>
      </c>
      <c r="D37" s="16"/>
      <c r="E37" s="29">
        <f t="shared" si="2"/>
      </c>
      <c r="F37" s="30">
        <f t="shared" si="0"/>
      </c>
      <c r="G37" s="62">
        <f t="shared" si="4"/>
      </c>
      <c r="H37" s="62">
        <f t="shared" si="3"/>
      </c>
      <c r="I37" s="55"/>
      <c r="J37" s="55"/>
      <c r="K37" s="7"/>
      <c r="L37" s="4">
        <f>IF(F5="M","Concrete Pavement 260 mm","")</f>
      </c>
      <c r="M37" s="5">
        <v>0.86</v>
      </c>
      <c r="N37" s="6"/>
      <c r="O37" s="50"/>
      <c r="P37" s="50"/>
    </row>
    <row r="38" spans="1:16" ht="22.5" customHeight="1">
      <c r="A38" s="26"/>
      <c r="B38" s="31"/>
      <c r="C38" s="61">
        <f t="shared" si="1"/>
      </c>
      <c r="D38" s="16"/>
      <c r="E38" s="29">
        <f t="shared" si="2"/>
      </c>
      <c r="F38" s="30">
        <f t="shared" si="0"/>
      </c>
      <c r="G38" s="62">
        <f t="shared" si="4"/>
      </c>
      <c r="H38" s="62">
        <f t="shared" si="3"/>
      </c>
      <c r="I38" s="55"/>
      <c r="J38" s="55"/>
      <c r="K38" s="7"/>
      <c r="L38" s="4" t="str">
        <f>IF($F$5="M","Concrete Pavement 270 mm","Concrete Pavement 10 1/2 inches")</f>
        <v>Concrete Pavement 10 1/2 inches</v>
      </c>
      <c r="M38" s="5">
        <f>IF($F$5="M",0.89,0.75)</f>
        <v>0.75</v>
      </c>
      <c r="N38" s="6"/>
      <c r="O38" s="50"/>
      <c r="P38" s="50"/>
    </row>
    <row r="39" spans="1:16" ht="22.5" customHeight="1">
      <c r="A39" s="39"/>
      <c r="B39" s="40"/>
      <c r="C39" s="32"/>
      <c r="D39" s="32"/>
      <c r="E39" s="33"/>
      <c r="F39" s="34"/>
      <c r="G39" s="35"/>
      <c r="H39" s="36" t="s">
        <v>66</v>
      </c>
      <c r="I39" s="47"/>
      <c r="J39" s="55"/>
      <c r="K39" s="7"/>
      <c r="L39" s="4" t="str">
        <f>IF($F$5="M","Concrete Pavement 280 mm","Concrete Pavement 11 inches")</f>
        <v>Concrete Pavement 11 inches</v>
      </c>
      <c r="M39" s="5">
        <f>IF($F$5="M",0.93,0.78)</f>
        <v>0.78</v>
      </c>
      <c r="N39" s="6"/>
      <c r="O39" s="50"/>
      <c r="P39" s="50"/>
    </row>
    <row r="40" spans="9:14" ht="12.75">
      <c r="I40" s="41"/>
      <c r="J40" s="41"/>
      <c r="K40" s="7"/>
      <c r="L40" s="4" t="str">
        <f>IF($F$5="M","Concrete Pavement 290 mm","Concrete Pavement 11 1/2 inches")</f>
        <v>Concrete Pavement 11 1/2 inches</v>
      </c>
      <c r="M40" s="5">
        <f>IF($F$5="M",0.96,0.81)</f>
        <v>0.81</v>
      </c>
      <c r="N40" s="6"/>
    </row>
    <row r="41" spans="1:14" ht="12.75">
      <c r="A41" s="42"/>
      <c r="B41" s="43"/>
      <c r="C41" s="44"/>
      <c r="D41" s="44"/>
      <c r="E41" s="45"/>
      <c r="F41" s="46"/>
      <c r="G41" s="47"/>
      <c r="H41" s="47"/>
      <c r="I41" s="47"/>
      <c r="J41" s="47"/>
      <c r="K41" s="7"/>
      <c r="L41" s="4" t="str">
        <f>IF($F$5="M","Concrete Pavement 300 mm","Concrete Pavement 12 inches")</f>
        <v>Concrete Pavement 12 inches</v>
      </c>
      <c r="M41" s="5">
        <f>IF($F$5="M",0.99,0.83)</f>
        <v>0.83</v>
      </c>
      <c r="N41" s="6"/>
    </row>
    <row r="42" spans="1:14" ht="12.75">
      <c r="A42" s="42"/>
      <c r="B42" s="43"/>
      <c r="C42" s="44"/>
      <c r="D42" s="44"/>
      <c r="E42" s="45"/>
      <c r="F42" s="46"/>
      <c r="G42" s="47"/>
      <c r="H42" s="47"/>
      <c r="I42" s="47"/>
      <c r="J42" s="47"/>
      <c r="K42" s="7"/>
      <c r="L42" s="4" t="str">
        <f>IF($F$5="M","Concrete Pavement 320 mm","Concrete Pavement 12 1/2 inches")</f>
        <v>Concrete Pavement 12 1/2 inches</v>
      </c>
      <c r="M42" s="5">
        <f>IF($F$5="M",1.02,0.86)</f>
        <v>0.86</v>
      </c>
      <c r="N42" s="6"/>
    </row>
    <row r="43" spans="1:14" ht="12.75">
      <c r="A43" s="42"/>
      <c r="B43" s="43"/>
      <c r="C43" s="44"/>
      <c r="D43" s="44"/>
      <c r="E43" s="45"/>
      <c r="F43" s="46"/>
      <c r="G43" s="47"/>
      <c r="H43" s="47"/>
      <c r="I43" s="47"/>
      <c r="J43" s="47"/>
      <c r="K43" s="7"/>
      <c r="L43" s="4" t="str">
        <f>IF($F$5="M","Concrete Pavement 330 mm","Concrete Pavement 13 inches")</f>
        <v>Concrete Pavement 13 inches</v>
      </c>
      <c r="M43" s="5">
        <f>IF($F$5="M",1.06,0.89)</f>
        <v>0.89</v>
      </c>
      <c r="N43" s="6"/>
    </row>
    <row r="44" spans="1:14" ht="12.75">
      <c r="A44" s="42"/>
      <c r="B44" s="43"/>
      <c r="C44" s="44"/>
      <c r="D44" s="44"/>
      <c r="E44" s="45"/>
      <c r="F44" s="46"/>
      <c r="G44" s="47"/>
      <c r="H44" s="47"/>
      <c r="I44" s="47"/>
      <c r="J44" s="47"/>
      <c r="K44" s="7"/>
      <c r="L44" s="4" t="str">
        <f>IF($F$5="M","Concrete Pavement 340 mm","Concrete Pavement 13 1/2 inches")</f>
        <v>Concrete Pavement 13 1/2 inches</v>
      </c>
      <c r="M44" s="5">
        <f>IF($F$5="M",1.1,0.92)</f>
        <v>0.92</v>
      </c>
      <c r="N44" s="6"/>
    </row>
    <row r="45" spans="1:14" ht="12.75">
      <c r="A45" s="42"/>
      <c r="B45" s="43"/>
      <c r="C45" s="44"/>
      <c r="D45" s="44"/>
      <c r="E45" s="45"/>
      <c r="F45" s="46"/>
      <c r="G45" s="47"/>
      <c r="H45" s="47"/>
      <c r="I45" s="47"/>
      <c r="J45" s="47"/>
      <c r="K45" s="7"/>
      <c r="L45" s="4" t="str">
        <f>IF($F$5="M","Concrete Pavement 360 mm","Concrete Pavement 14 inches")</f>
        <v>Concrete Pavement 14 inches</v>
      </c>
      <c r="M45" s="5">
        <f>IF($F$5="M",1.14,0.95)</f>
        <v>0.95</v>
      </c>
      <c r="N45" s="6"/>
    </row>
    <row r="46" spans="1:14" ht="12.75">
      <c r="A46" s="48"/>
      <c r="B46" s="48"/>
      <c r="C46" s="48"/>
      <c r="D46" s="48"/>
      <c r="E46" s="49"/>
      <c r="F46" s="48"/>
      <c r="G46" s="48"/>
      <c r="H46" s="48"/>
      <c r="I46" s="48"/>
      <c r="J46" s="48"/>
      <c r="K46" s="7"/>
      <c r="L46" s="4" t="str">
        <f>IF($F$5="M","Concrete Pavement 370 mm","Concrete Pavement 14 1/2 inches")</f>
        <v>Concrete Pavement 14 1/2 inches</v>
      </c>
      <c r="M46" s="5">
        <f>IF($F$5="M",1.17,0.98)</f>
        <v>0.98</v>
      </c>
      <c r="N46" s="6"/>
    </row>
    <row r="47" spans="1:14" ht="12.75">
      <c r="A47" s="50"/>
      <c r="B47" s="50"/>
      <c r="C47" s="50"/>
      <c r="D47" s="50"/>
      <c r="E47" s="51"/>
      <c r="F47" s="50"/>
      <c r="G47" s="50"/>
      <c r="H47" s="50"/>
      <c r="I47" s="50"/>
      <c r="J47" s="50"/>
      <c r="K47" s="7"/>
      <c r="L47" s="4" t="s">
        <v>60</v>
      </c>
      <c r="M47" s="5">
        <f>IF($F$5="M",334.65,10.2)</f>
        <v>10.2</v>
      </c>
      <c r="N47" s="6"/>
    </row>
    <row r="48" spans="1:14" ht="12.75">
      <c r="A48" s="50"/>
      <c r="B48" s="50"/>
      <c r="C48" s="50"/>
      <c r="D48" s="50"/>
      <c r="E48" s="51"/>
      <c r="F48" s="50"/>
      <c r="G48" s="50"/>
      <c r="H48" s="50"/>
      <c r="I48" s="50"/>
      <c r="J48" s="50"/>
      <c r="K48" s="7"/>
      <c r="L48" s="4" t="s">
        <v>59</v>
      </c>
      <c r="M48" s="5">
        <f>IF($F$5="M",2.65,2.4)</f>
        <v>2.4</v>
      </c>
      <c r="N48" s="6"/>
    </row>
    <row r="49" spans="1:14" ht="12.75">
      <c r="A49" s="50"/>
      <c r="B49" s="50"/>
      <c r="C49" s="50"/>
      <c r="D49" s="50"/>
      <c r="E49" s="51"/>
      <c r="F49" s="50"/>
      <c r="G49" s="50"/>
      <c r="H49" s="50"/>
      <c r="I49" s="50"/>
      <c r="J49" s="50"/>
      <c r="K49" s="7"/>
      <c r="L49" s="4" t="s">
        <v>64</v>
      </c>
      <c r="M49" s="5">
        <f>IF($F$5="M",2.65,2.4)</f>
        <v>2.4</v>
      </c>
      <c r="N49" s="6"/>
    </row>
    <row r="50" spans="1:14" ht="12.75">
      <c r="A50" s="50"/>
      <c r="B50" s="50"/>
      <c r="C50" s="50"/>
      <c r="D50" s="50"/>
      <c r="E50" s="51"/>
      <c r="F50" s="50"/>
      <c r="G50" s="50"/>
      <c r="H50" s="50"/>
      <c r="I50" s="50"/>
      <c r="J50" s="50"/>
      <c r="K50" s="7"/>
      <c r="L50" s="4" t="s">
        <v>65</v>
      </c>
      <c r="M50" s="5">
        <f>IF($F$5="M",2.65,2.4)</f>
        <v>2.4</v>
      </c>
      <c r="N50" s="6"/>
    </row>
    <row r="51" spans="11:13" ht="12.75">
      <c r="K51" s="7"/>
      <c r="L51" s="4"/>
      <c r="M51" s="5"/>
    </row>
    <row r="52" spans="11:13" ht="12.75">
      <c r="K52" s="7"/>
      <c r="L52" s="6"/>
      <c r="M52" s="6"/>
    </row>
    <row r="53" spans="11:13" ht="12.75">
      <c r="K53" s="7"/>
      <c r="L53" s="37"/>
      <c r="M53" s="37"/>
    </row>
    <row r="54" spans="11:13" ht="12.75">
      <c r="K54" s="7"/>
      <c r="L54" s="37"/>
      <c r="M54" s="37"/>
    </row>
    <row r="55" spans="12:13" ht="12.75">
      <c r="L55" s="37"/>
      <c r="M55" s="37"/>
    </row>
    <row r="56" spans="12:13" ht="12.75">
      <c r="L56" s="37"/>
      <c r="M56" s="37"/>
    </row>
    <row r="57" spans="12:13" ht="12.75">
      <c r="L57" s="37"/>
      <c r="M57" s="37"/>
    </row>
    <row r="58" spans="12:13" ht="12.75">
      <c r="L58" s="37"/>
      <c r="M58" s="37"/>
    </row>
    <row r="59" spans="12:13" ht="12.75">
      <c r="L59" s="37"/>
      <c r="M59" s="37"/>
    </row>
    <row r="60" spans="12:13" ht="12.75">
      <c r="L60" s="37"/>
      <c r="M60" s="37"/>
    </row>
    <row r="61" spans="12:13" ht="12.75">
      <c r="L61" s="37"/>
      <c r="M61" s="37"/>
    </row>
    <row r="62" spans="12:13" ht="12.75">
      <c r="L62" s="37"/>
      <c r="M62" s="37"/>
    </row>
    <row r="63" spans="12:13" ht="12.75">
      <c r="L63" s="37"/>
      <c r="M63" s="37"/>
    </row>
    <row r="64" spans="12:13" ht="12.75">
      <c r="L64" s="37"/>
      <c r="M64" s="37"/>
    </row>
    <row r="65" spans="12:13" ht="12.75">
      <c r="L65" s="37"/>
      <c r="M65" s="37"/>
    </row>
    <row r="66" spans="12:13" ht="12.75">
      <c r="L66" s="37"/>
      <c r="M66" s="37"/>
    </row>
    <row r="67" spans="12:13" ht="12.75">
      <c r="L67" s="37"/>
      <c r="M67" s="37"/>
    </row>
    <row r="68" spans="12:13" ht="12.75">
      <c r="L68" s="37"/>
      <c r="M68" s="37"/>
    </row>
    <row r="69" spans="12:13" ht="12.75">
      <c r="L69" s="37"/>
      <c r="M69" s="37"/>
    </row>
    <row r="70" ht="12.75">
      <c r="L70" s="37"/>
    </row>
    <row r="71" ht="12.75">
      <c r="L71" s="37"/>
    </row>
    <row r="72" ht="12.75">
      <c r="L72" s="37"/>
    </row>
  </sheetData>
  <sheetProtection password="BF11" sheet="1" objects="1" scenarios="1" selectLockedCells="1"/>
  <mergeCells count="4">
    <mergeCell ref="F3:H3"/>
    <mergeCell ref="F4:H4"/>
    <mergeCell ref="D5:E5"/>
    <mergeCell ref="B6:E6"/>
  </mergeCells>
  <dataValidations count="1">
    <dataValidation type="list" allowBlank="1" showInputMessage="1" showErrorMessage="1" promptTitle="Data Entry Restriction!" prompt="Please select one item from this drop down box. No other values will be accepted." errorTitle="Wrong data!" error="Please enter a value from the drop down list." sqref="B6:E6">
      <formula1>$L$7:$L$50</formula1>
    </dataValidation>
  </dataValidations>
  <printOptions/>
  <pageMargins left="1.06" right="0.5" top="0.5" bottom="0" header="0.5" footer="0"/>
  <pageSetup blackAndWhite="1" fitToHeight="1" fitToWidth="1" horizontalDpi="600" verticalDpi="600" orientation="portrait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"/>
  <sheetViews>
    <sheetView showGridLines="0" showRowColHeaders="0" tabSelected="1" zoomScalePageLayoutView="0" workbookViewId="0" topLeftCell="A1">
      <selection activeCell="B4" sqref="B4"/>
    </sheetView>
  </sheetViews>
  <sheetFormatPr defaultColWidth="9.140625" defaultRowHeight="12.75"/>
  <cols>
    <col min="1" max="1" width="13.00390625" style="0" customWidth="1"/>
    <col min="2" max="2" width="13.28125" style="0" customWidth="1"/>
    <col min="3" max="3" width="9.00390625" style="0" customWidth="1"/>
    <col min="4" max="4" width="9.28125" style="0" customWidth="1"/>
    <col min="5" max="5" width="11.00390625" style="1" customWidth="1"/>
    <col min="6" max="6" width="10.57421875" style="0" customWidth="1"/>
    <col min="7" max="8" width="16.00390625" style="0" bestFit="1" customWidth="1"/>
    <col min="11" max="11" width="3.57421875" style="0" customWidth="1"/>
    <col min="12" max="12" width="47.00390625" style="0" hidden="1" customWidth="1"/>
    <col min="13" max="13" width="8.28125" style="0" hidden="1" customWidth="1"/>
    <col min="14" max="14" width="7.140625" style="0" customWidth="1"/>
    <col min="15" max="16" width="9.140625" style="0" customWidth="1"/>
  </cols>
  <sheetData>
    <row r="1" spans="1:16" ht="15">
      <c r="A1" s="8"/>
      <c r="B1" s="8"/>
      <c r="C1" s="9" t="s">
        <v>67</v>
      </c>
      <c r="D1" s="8"/>
      <c r="E1" s="10"/>
      <c r="F1" s="8"/>
      <c r="G1" s="8"/>
      <c r="H1" s="8"/>
      <c r="I1" s="52"/>
      <c r="J1" s="52"/>
      <c r="K1" s="50"/>
      <c r="L1" s="50"/>
      <c r="M1" s="50"/>
      <c r="N1" s="50"/>
      <c r="O1" s="50"/>
      <c r="P1" s="50"/>
    </row>
    <row r="2" spans="1:16" ht="17.25" customHeight="1">
      <c r="A2" s="8"/>
      <c r="B2" s="8"/>
      <c r="C2" s="8"/>
      <c r="D2" s="8"/>
      <c r="E2" s="10"/>
      <c r="F2" s="8"/>
      <c r="G2" s="8"/>
      <c r="H2" s="8"/>
      <c r="I2" s="52"/>
      <c r="J2" s="52"/>
      <c r="K2" s="50"/>
      <c r="L2" s="50"/>
      <c r="M2" s="50"/>
      <c r="N2" s="50"/>
      <c r="O2" s="50"/>
      <c r="P2" s="50"/>
    </row>
    <row r="3" spans="1:16" ht="21" customHeight="1">
      <c r="A3" s="11"/>
      <c r="B3" s="12"/>
      <c r="C3" s="11"/>
      <c r="D3" s="11"/>
      <c r="E3" s="63" t="s">
        <v>42</v>
      </c>
      <c r="F3" s="91"/>
      <c r="G3" s="91"/>
      <c r="H3" s="91"/>
      <c r="I3" s="53"/>
      <c r="J3" s="53"/>
      <c r="K3" s="50"/>
      <c r="L3" s="50"/>
      <c r="M3" s="50"/>
      <c r="N3" s="50"/>
      <c r="O3" s="50"/>
      <c r="P3" s="50"/>
    </row>
    <row r="4" spans="1:16" ht="21" customHeight="1">
      <c r="A4" s="13" t="s">
        <v>43</v>
      </c>
      <c r="B4" s="14"/>
      <c r="C4" s="38"/>
      <c r="D4" s="11"/>
      <c r="E4" s="64" t="s">
        <v>41</v>
      </c>
      <c r="F4" s="92"/>
      <c r="G4" s="93"/>
      <c r="H4" s="94"/>
      <c r="I4" s="53"/>
      <c r="J4" s="53"/>
      <c r="K4" s="50"/>
      <c r="L4" s="57"/>
      <c r="M4" s="50"/>
      <c r="N4" s="50"/>
      <c r="O4" s="50"/>
      <c r="P4" s="50"/>
    </row>
    <row r="5" spans="1:16" ht="21" customHeight="1">
      <c r="A5" s="79" t="s">
        <v>44</v>
      </c>
      <c r="B5" s="15"/>
      <c r="C5" s="78"/>
      <c r="D5" s="95" t="s">
        <v>46</v>
      </c>
      <c r="E5" s="96"/>
      <c r="F5" s="28"/>
      <c r="G5" s="65" t="s">
        <v>45</v>
      </c>
      <c r="H5" s="60">
        <f>IF(B6="","",VLOOKUP(B6,L7:M50,2,FALSE))</f>
      </c>
      <c r="I5" s="53"/>
      <c r="J5" s="53"/>
      <c r="K5" s="4"/>
      <c r="L5" s="56"/>
      <c r="N5" s="4"/>
      <c r="O5" s="50"/>
      <c r="P5" s="50"/>
    </row>
    <row r="6" spans="1:16" ht="21" customHeight="1">
      <c r="A6" s="79" t="s">
        <v>20</v>
      </c>
      <c r="B6" s="88" t="s">
        <v>69</v>
      </c>
      <c r="C6" s="89"/>
      <c r="D6" s="89"/>
      <c r="E6" s="90"/>
      <c r="F6" s="58"/>
      <c r="H6" s="59"/>
      <c r="I6" s="53"/>
      <c r="J6" s="53"/>
      <c r="K6" s="4"/>
      <c r="L6" s="4" t="s">
        <v>21</v>
      </c>
      <c r="M6" s="4" t="s">
        <v>37</v>
      </c>
      <c r="O6" s="50"/>
      <c r="P6" s="4"/>
    </row>
    <row r="7" spans="1:16" ht="12.75">
      <c r="A7" s="11"/>
      <c r="B7" s="11"/>
      <c r="C7" s="17"/>
      <c r="D7" s="11"/>
      <c r="E7" s="7"/>
      <c r="F7" s="11"/>
      <c r="G7" s="11"/>
      <c r="H7" s="11"/>
      <c r="I7" s="53"/>
      <c r="J7" s="53"/>
      <c r="K7" s="4"/>
      <c r="L7" s="4" t="s">
        <v>22</v>
      </c>
      <c r="M7" s="5">
        <f>IF($F$5="M",0.33,0.25)</f>
        <v>0.25</v>
      </c>
      <c r="O7" s="50"/>
      <c r="P7" s="5"/>
    </row>
    <row r="8" spans="1:16" ht="12.75">
      <c r="A8" s="18" t="s">
        <v>0</v>
      </c>
      <c r="B8" s="18" t="s">
        <v>18</v>
      </c>
      <c r="C8" s="19" t="s">
        <v>2</v>
      </c>
      <c r="D8" s="18" t="s">
        <v>5</v>
      </c>
      <c r="E8" s="20" t="s">
        <v>8</v>
      </c>
      <c r="F8" s="18" t="s">
        <v>10</v>
      </c>
      <c r="G8" s="18" t="s">
        <v>13</v>
      </c>
      <c r="H8" s="18" t="s">
        <v>8</v>
      </c>
      <c r="I8" s="54"/>
      <c r="J8" s="54"/>
      <c r="K8" s="4"/>
      <c r="L8" s="4" t="s">
        <v>61</v>
      </c>
      <c r="M8" s="5">
        <f>IF($F$5="M",0.33,0.25)</f>
        <v>0.25</v>
      </c>
      <c r="O8" s="50"/>
      <c r="P8" s="5"/>
    </row>
    <row r="9" spans="1:16" ht="12.75">
      <c r="A9" s="21"/>
      <c r="B9" s="22" t="s">
        <v>16</v>
      </c>
      <c r="C9" s="22" t="s">
        <v>3</v>
      </c>
      <c r="D9" s="22" t="s">
        <v>6</v>
      </c>
      <c r="E9" s="23"/>
      <c r="F9" s="22" t="s">
        <v>11</v>
      </c>
      <c r="G9" s="22" t="s">
        <v>14</v>
      </c>
      <c r="H9" s="22" t="s">
        <v>9</v>
      </c>
      <c r="I9" s="54"/>
      <c r="J9" s="54"/>
      <c r="K9" s="4"/>
      <c r="L9" s="4" t="s">
        <v>19</v>
      </c>
      <c r="M9" s="5">
        <f>IF($F$5="M",0.43,0.33)</f>
        <v>0.33</v>
      </c>
      <c r="O9" s="50"/>
      <c r="P9" s="5"/>
    </row>
    <row r="10" spans="1:16" ht="12.75">
      <c r="A10" s="24" t="s">
        <v>1</v>
      </c>
      <c r="B10" s="24" t="s">
        <v>17</v>
      </c>
      <c r="C10" s="24" t="s">
        <v>4</v>
      </c>
      <c r="D10" s="24" t="s">
        <v>7</v>
      </c>
      <c r="E10" s="25" t="s">
        <v>9</v>
      </c>
      <c r="F10" s="24" t="s">
        <v>12</v>
      </c>
      <c r="G10" s="24" t="s">
        <v>15</v>
      </c>
      <c r="H10" s="24" t="s">
        <v>15</v>
      </c>
      <c r="I10" s="54"/>
      <c r="J10" s="54"/>
      <c r="K10" s="4"/>
      <c r="L10" s="4" t="s">
        <v>62</v>
      </c>
      <c r="M10" s="5">
        <f>IF($F$5="M",0.43,0.33)</f>
        <v>0.33</v>
      </c>
      <c r="O10" s="50"/>
      <c r="P10" s="5"/>
    </row>
    <row r="11" spans="1:16" ht="22.5" customHeight="1">
      <c r="A11" s="26"/>
      <c r="B11" s="27"/>
      <c r="C11" s="61">
        <f>IF(H5="","",ABS($H$5))</f>
      </c>
      <c r="D11" s="28"/>
      <c r="E11" s="29">
        <f>IF(D11="","",+D11)</f>
      </c>
      <c r="F11" s="30">
        <f>+IF(B11="","",(B11-$C$5))</f>
      </c>
      <c r="G11" s="62">
        <f>IF(C11="","",IF(F11="","",+C11*D11*F11))</f>
      </c>
      <c r="H11" s="62">
        <f>+G11</f>
      </c>
      <c r="I11" s="54"/>
      <c r="J11" s="54"/>
      <c r="K11" s="4"/>
      <c r="L11" s="4" t="s">
        <v>24</v>
      </c>
      <c r="M11" s="5">
        <f>IF($F$5="M",0.38,0.29)</f>
        <v>0.29</v>
      </c>
      <c r="O11" s="50"/>
      <c r="P11" s="5"/>
    </row>
    <row r="12" spans="1:16" ht="22.5" customHeight="1">
      <c r="A12" s="26"/>
      <c r="B12" s="31"/>
      <c r="C12" s="61">
        <f>IF(B12="","",ABS($H$5))</f>
      </c>
      <c r="D12" s="16"/>
      <c r="E12" s="29">
        <f>IF(D12="","",+D12+E11)</f>
      </c>
      <c r="F12" s="30">
        <f aca="true" t="shared" si="0" ref="F12:F38">+IF(B12="","",(B12-$C$5))</f>
      </c>
      <c r="G12" s="62">
        <f>IF(C12="","",IF(F12="","",+C12*D12*F12))</f>
      </c>
      <c r="H12" s="62">
        <f>IF(G12="","",+H11+G12)</f>
      </c>
      <c r="I12" s="55"/>
      <c r="J12" s="55"/>
      <c r="K12" s="4"/>
      <c r="L12" s="4" t="s">
        <v>25</v>
      </c>
      <c r="M12" s="5">
        <f>IF($F$5="M",0.39,0.3)</f>
        <v>0.3</v>
      </c>
      <c r="O12" s="50"/>
      <c r="P12" s="5"/>
    </row>
    <row r="13" spans="1:16" ht="22.5" customHeight="1">
      <c r="A13" s="26"/>
      <c r="B13" s="31"/>
      <c r="C13" s="61">
        <f aca="true" t="shared" si="1" ref="C13:C38">IF(B13="","",ABS($H$5))</f>
      </c>
      <c r="D13" s="16"/>
      <c r="E13" s="29">
        <f aca="true" t="shared" si="2" ref="E13:E38">IF(D13="","",+D13+E12)</f>
      </c>
      <c r="F13" s="30">
        <f t="shared" si="0"/>
      </c>
      <c r="G13" s="62">
        <f>IF(C13="","",IF(F13="","",+C13*D13*F13))</f>
      </c>
      <c r="H13" s="62">
        <f aca="true" t="shared" si="3" ref="H13:H29">IF(G13="","",+H12+G13)</f>
      </c>
      <c r="I13" s="55"/>
      <c r="J13" s="55"/>
      <c r="K13" s="4"/>
      <c r="L13" s="4" t="s">
        <v>63</v>
      </c>
      <c r="M13" s="5">
        <f>IF($F$5="M",0.36,0.3)</f>
        <v>0.3</v>
      </c>
      <c r="O13" s="50"/>
      <c r="P13" s="5"/>
    </row>
    <row r="14" spans="1:16" ht="22.5" customHeight="1">
      <c r="A14" s="26"/>
      <c r="B14" s="31"/>
      <c r="C14" s="61">
        <f t="shared" si="1"/>
      </c>
      <c r="D14" s="16"/>
      <c r="E14" s="29">
        <f t="shared" si="2"/>
      </c>
      <c r="F14" s="30">
        <f t="shared" si="0"/>
      </c>
      <c r="G14" s="62">
        <f>IF(C14="","",IF(F14="","",+C14*D14*F14))</f>
      </c>
      <c r="H14" s="62">
        <f t="shared" si="3"/>
      </c>
      <c r="I14" s="55"/>
      <c r="J14" s="55"/>
      <c r="K14" s="66"/>
      <c r="L14" s="4" t="str">
        <f>IF($F$5="M","Concrete Placement:  75mm","Concrete Placement:  3 inches")</f>
        <v>Concrete Placement:  3 inches</v>
      </c>
      <c r="M14" s="5">
        <f>IF($F$5="M",0.36,0.3)</f>
        <v>0.3</v>
      </c>
      <c r="O14" s="50"/>
      <c r="P14" s="67"/>
    </row>
    <row r="15" spans="1:16" ht="22.5" customHeight="1">
      <c r="A15" s="26"/>
      <c r="B15" s="31"/>
      <c r="C15" s="61">
        <f t="shared" si="1"/>
      </c>
      <c r="D15" s="16"/>
      <c r="E15" s="29">
        <f t="shared" si="2"/>
      </c>
      <c r="F15" s="30">
        <f t="shared" si="0"/>
      </c>
      <c r="G15" s="62">
        <f>IF(C15="","",IF(F15="","",+C15*D15*F15))</f>
      </c>
      <c r="H15" s="62">
        <f t="shared" si="3"/>
      </c>
      <c r="I15" s="55"/>
      <c r="J15" s="55"/>
      <c r="K15" s="66"/>
      <c r="L15" s="4" t="str">
        <f>IF($F$5="M","","Concrete Placement:  3.5 inches")</f>
        <v>Concrete Placement:  3.5 inches</v>
      </c>
      <c r="M15" s="5">
        <f>IF($F$5="M",0.39,0.33)</f>
        <v>0.33</v>
      </c>
      <c r="O15" s="50"/>
      <c r="P15" s="67"/>
    </row>
    <row r="16" spans="1:16" ht="22.5" customHeight="1">
      <c r="A16" s="26"/>
      <c r="B16" s="31"/>
      <c r="C16" s="61">
        <f t="shared" si="1"/>
      </c>
      <c r="D16" s="16"/>
      <c r="E16" s="29">
        <f t="shared" si="2"/>
      </c>
      <c r="F16" s="30">
        <f t="shared" si="0"/>
      </c>
      <c r="G16" s="62">
        <f aca="true" t="shared" si="4" ref="G16:G29">IF(F16="","",+C16*D16*F16)</f>
      </c>
      <c r="H16" s="62">
        <f t="shared" si="3"/>
      </c>
      <c r="I16" s="55"/>
      <c r="J16" s="55"/>
      <c r="K16" s="4"/>
      <c r="L16" s="4" t="str">
        <f>IF($F$5="M","Concrete Placement:  100mm","Concrete Placement:  4 inches")</f>
        <v>Concrete Placement:  4 inches</v>
      </c>
      <c r="M16" s="5">
        <f>IF($F$5="M",0.43,0.36)</f>
        <v>0.36</v>
      </c>
      <c r="O16" s="50"/>
      <c r="P16" s="5"/>
    </row>
    <row r="17" spans="1:16" ht="22.5" customHeight="1">
      <c r="A17" s="26"/>
      <c r="B17" s="31"/>
      <c r="C17" s="61">
        <f t="shared" si="1"/>
      </c>
      <c r="D17" s="16"/>
      <c r="E17" s="29">
        <f t="shared" si="2"/>
      </c>
      <c r="F17" s="30">
        <f t="shared" si="0"/>
      </c>
      <c r="G17" s="62">
        <f t="shared" si="4"/>
      </c>
      <c r="H17" s="62">
        <f t="shared" si="3"/>
      </c>
      <c r="I17" s="55"/>
      <c r="J17" s="55"/>
      <c r="K17" s="66"/>
      <c r="L17" s="4" t="str">
        <f>IF($F$5="M","","Concrete Placement:  4.5 inches")</f>
        <v>Concrete Placement:  4.5 inches</v>
      </c>
      <c r="M17" s="5">
        <f>IF($F$5="M",0.46,0.39)</f>
        <v>0.39</v>
      </c>
      <c r="O17" s="50"/>
      <c r="P17" s="67"/>
    </row>
    <row r="18" spans="1:16" ht="22.5" customHeight="1">
      <c r="A18" s="26"/>
      <c r="B18" s="31"/>
      <c r="C18" s="61">
        <f t="shared" si="1"/>
      </c>
      <c r="D18" s="16"/>
      <c r="E18" s="29">
        <f t="shared" si="2"/>
      </c>
      <c r="F18" s="30">
        <f t="shared" si="0"/>
      </c>
      <c r="G18" s="62">
        <f t="shared" si="4"/>
      </c>
      <c r="H18" s="62">
        <f t="shared" si="3"/>
      </c>
      <c r="I18" s="55"/>
      <c r="J18" s="55"/>
      <c r="K18" s="4"/>
      <c r="L18" s="4" t="str">
        <f>IF($F$5="M","Concrete Placement:  140mm","Concrete Placement:  5 inches")</f>
        <v>Concrete Placement:  5 inches</v>
      </c>
      <c r="M18" s="5">
        <f>IF($F$5="M",0.5,0.42)</f>
        <v>0.42</v>
      </c>
      <c r="O18" s="50"/>
      <c r="P18" s="5"/>
    </row>
    <row r="19" spans="1:16" ht="22.5" customHeight="1">
      <c r="A19" s="26"/>
      <c r="B19" s="31"/>
      <c r="C19" s="61">
        <f t="shared" si="1"/>
      </c>
      <c r="D19" s="16"/>
      <c r="E19" s="29">
        <f t="shared" si="2"/>
      </c>
      <c r="F19" s="30">
        <f t="shared" si="0"/>
      </c>
      <c r="G19" s="62">
        <f t="shared" si="4"/>
      </c>
      <c r="H19" s="62">
        <f t="shared" si="3"/>
      </c>
      <c r="I19" s="55"/>
      <c r="J19" s="55"/>
      <c r="K19" s="66"/>
      <c r="L19" s="4" t="str">
        <f>IF($F$5="M","","Concrete Placement:  5.5 inches")</f>
        <v>Concrete Placement:  5.5 inches</v>
      </c>
      <c r="M19" s="5">
        <f>IF($F$5="M",0.53,0.45)</f>
        <v>0.45</v>
      </c>
      <c r="O19" s="50"/>
      <c r="P19" s="67"/>
    </row>
    <row r="20" spans="1:16" ht="21" customHeight="1">
      <c r="A20" s="26"/>
      <c r="B20" s="31"/>
      <c r="C20" s="61">
        <f t="shared" si="1"/>
      </c>
      <c r="D20" s="16"/>
      <c r="E20" s="29">
        <f t="shared" si="2"/>
      </c>
      <c r="F20" s="30">
        <f t="shared" si="0"/>
      </c>
      <c r="G20" s="62">
        <f t="shared" si="4"/>
      </c>
      <c r="H20" s="62">
        <f t="shared" si="3"/>
      </c>
      <c r="I20" s="55"/>
      <c r="J20" s="55"/>
      <c r="K20" s="4"/>
      <c r="L20" s="4" t="str">
        <f>IF($F$5="M","Concrete Placement:  160mm","Concrete Placement:  6 inches")</f>
        <v>Concrete Placement:  6 inches</v>
      </c>
      <c r="M20" s="5">
        <f>IF($F$5="M",0.57,0.48)</f>
        <v>0.48</v>
      </c>
      <c r="O20" s="50"/>
      <c r="P20" s="5"/>
    </row>
    <row r="21" spans="1:16" ht="21" customHeight="1">
      <c r="A21" s="26"/>
      <c r="B21" s="31"/>
      <c r="C21" s="61">
        <f t="shared" si="1"/>
      </c>
      <c r="D21" s="16"/>
      <c r="E21" s="29">
        <f t="shared" si="2"/>
      </c>
      <c r="F21" s="30">
        <f t="shared" si="0"/>
      </c>
      <c r="G21" s="62">
        <f t="shared" si="4"/>
      </c>
      <c r="H21" s="62">
        <f t="shared" si="3"/>
      </c>
      <c r="I21" s="55"/>
      <c r="J21" s="55"/>
      <c r="K21" s="66"/>
      <c r="L21" s="4" t="str">
        <f>IF($F$5="M","Bonded Concrete Pavement (75mm)","Bonded Concrete Pavement (3 inches)")</f>
        <v>Bonded Concrete Pavement (3 inches)</v>
      </c>
      <c r="M21" s="5">
        <f>IF($F$5="M",0.36,0.3)</f>
        <v>0.3</v>
      </c>
      <c r="O21" s="50"/>
      <c r="P21" s="67"/>
    </row>
    <row r="22" spans="1:16" ht="21" customHeight="1">
      <c r="A22" s="26"/>
      <c r="B22" s="31"/>
      <c r="C22" s="61">
        <f t="shared" si="1"/>
      </c>
      <c r="D22" s="16"/>
      <c r="E22" s="29">
        <f t="shared" si="2"/>
      </c>
      <c r="F22" s="30">
        <f t="shared" si="0"/>
      </c>
      <c r="G22" s="62">
        <f t="shared" si="4"/>
      </c>
      <c r="H22" s="62">
        <f t="shared" si="3"/>
      </c>
      <c r="I22" s="55"/>
      <c r="J22" s="55"/>
      <c r="K22" s="4"/>
      <c r="L22" s="4" t="str">
        <f>IF($F$5="M","","Bonded Concrete Pavement (3.5 inches)")</f>
        <v>Bonded Concrete Pavement (3.5 inches)</v>
      </c>
      <c r="M22" s="5">
        <f>IF($F$5="M",0.39,0.33)</f>
        <v>0.33</v>
      </c>
      <c r="O22" s="50"/>
      <c r="P22" s="5"/>
    </row>
    <row r="23" spans="1:16" ht="22.5" customHeight="1">
      <c r="A23" s="26"/>
      <c r="B23" s="31"/>
      <c r="C23" s="61">
        <f t="shared" si="1"/>
      </c>
      <c r="D23" s="16"/>
      <c r="E23" s="29">
        <f t="shared" si="2"/>
      </c>
      <c r="F23" s="30">
        <f t="shared" si="0"/>
      </c>
      <c r="G23" s="62">
        <f t="shared" si="4"/>
      </c>
      <c r="H23" s="62">
        <f t="shared" si="3"/>
      </c>
      <c r="I23" s="55"/>
      <c r="J23" s="55"/>
      <c r="K23" s="66"/>
      <c r="L23" s="4" t="str">
        <f>IF($F$5="M","Bonded Concrete Pavement (100mm)","Bonded Concrete Pavement (4 inches)")</f>
        <v>Bonded Concrete Pavement (4 inches)</v>
      </c>
      <c r="M23" s="5">
        <f>IF($F$5="M",0.43,0.36)</f>
        <v>0.36</v>
      </c>
      <c r="O23" s="50"/>
      <c r="P23" s="67"/>
    </row>
    <row r="24" spans="1:16" ht="22.5" customHeight="1">
      <c r="A24" s="26"/>
      <c r="B24" s="31"/>
      <c r="C24" s="61">
        <f t="shared" si="1"/>
      </c>
      <c r="D24" s="16"/>
      <c r="E24" s="29">
        <f t="shared" si="2"/>
      </c>
      <c r="F24" s="30">
        <f t="shared" si="0"/>
      </c>
      <c r="G24" s="62">
        <f t="shared" si="4"/>
      </c>
      <c r="H24" s="62">
        <f t="shared" si="3"/>
      </c>
      <c r="I24" s="55"/>
      <c r="J24" s="55"/>
      <c r="K24" s="4"/>
      <c r="L24" s="4" t="str">
        <f>IF($F$5="M","","Bonded Concrete Pavement (4.5 inches)")</f>
        <v>Bonded Concrete Pavement (4.5 inches)</v>
      </c>
      <c r="M24" s="5">
        <f>IF($F$5="M",0.46,0.39)</f>
        <v>0.39</v>
      </c>
      <c r="O24" s="50"/>
      <c r="P24" s="5"/>
    </row>
    <row r="25" spans="1:16" ht="22.5" customHeight="1">
      <c r="A25" s="26"/>
      <c r="B25" s="31"/>
      <c r="C25" s="61">
        <f t="shared" si="1"/>
      </c>
      <c r="D25" s="16"/>
      <c r="E25" s="29">
        <f t="shared" si="2"/>
      </c>
      <c r="F25" s="30">
        <f t="shared" si="0"/>
      </c>
      <c r="G25" s="62">
        <f t="shared" si="4"/>
      </c>
      <c r="H25" s="62">
        <f t="shared" si="3"/>
      </c>
      <c r="I25" s="55"/>
      <c r="J25" s="55"/>
      <c r="K25" s="66"/>
      <c r="L25" s="4" t="str">
        <f>IF($F$5="M","Bonded Concrete Pavement (140mm)","Bonded Concrete Pavement (5 inches)")</f>
        <v>Bonded Concrete Pavement (5 inches)</v>
      </c>
      <c r="M25" s="5">
        <f>IF($F$5="M",0.5,0.42)</f>
        <v>0.42</v>
      </c>
      <c r="O25" s="50"/>
      <c r="P25" s="67"/>
    </row>
    <row r="26" spans="1:16" ht="22.5" customHeight="1">
      <c r="A26" s="26"/>
      <c r="B26" s="31"/>
      <c r="C26" s="61">
        <f t="shared" si="1"/>
      </c>
      <c r="D26" s="16"/>
      <c r="E26" s="29">
        <f t="shared" si="2"/>
      </c>
      <c r="F26" s="30">
        <f t="shared" si="0"/>
      </c>
      <c r="G26" s="62">
        <f t="shared" si="4"/>
      </c>
      <c r="H26" s="62">
        <f t="shared" si="3"/>
      </c>
      <c r="I26" s="55"/>
      <c r="J26" s="55"/>
      <c r="K26" s="4"/>
      <c r="L26" s="4" t="str">
        <f>IF($F$5="M","","Bonded Concrete Pavement (5.5 inches)")</f>
        <v>Bonded Concrete Pavement (5.5 inches)</v>
      </c>
      <c r="M26" s="5">
        <f>IF($F$5="M",0.53,0.45)</f>
        <v>0.45</v>
      </c>
      <c r="O26" s="50"/>
      <c r="P26" s="5"/>
    </row>
    <row r="27" spans="1:16" ht="22.5" customHeight="1">
      <c r="A27" s="26"/>
      <c r="B27" s="31"/>
      <c r="C27" s="61">
        <f t="shared" si="1"/>
      </c>
      <c r="D27" s="16"/>
      <c r="E27" s="29">
        <f t="shared" si="2"/>
      </c>
      <c r="F27" s="30">
        <f t="shared" si="0"/>
      </c>
      <c r="G27" s="62">
        <f t="shared" si="4"/>
      </c>
      <c r="H27" s="62">
        <f t="shared" si="3"/>
      </c>
      <c r="I27" s="55"/>
      <c r="J27" s="55"/>
      <c r="K27" s="66"/>
      <c r="L27" s="4" t="str">
        <f>IF($F$5="M","Bonded Concrete Pavement (160mm)","Bonded Concrete Pavement (6 inches)")</f>
        <v>Bonded Concrete Pavement (6 inches)</v>
      </c>
      <c r="M27" s="5">
        <f>IF($F$5="M",0.57,0.48)</f>
        <v>0.48</v>
      </c>
      <c r="O27" s="50"/>
      <c r="P27" s="67"/>
    </row>
    <row r="28" spans="1:16" ht="22.5" customHeight="1">
      <c r="A28" s="26"/>
      <c r="B28" s="31"/>
      <c r="C28" s="61">
        <f t="shared" si="1"/>
      </c>
      <c r="D28" s="16"/>
      <c r="E28" s="29">
        <f t="shared" si="2"/>
      </c>
      <c r="F28" s="30">
        <f t="shared" si="0"/>
      </c>
      <c r="G28" s="62">
        <f t="shared" si="4"/>
      </c>
      <c r="H28" s="62">
        <f t="shared" si="3"/>
      </c>
      <c r="I28" s="55"/>
      <c r="J28" s="55"/>
      <c r="K28" s="4"/>
      <c r="L28" s="4" t="str">
        <f>IF($F$5="M","Concrete Pavement 160 mm","Concrete Pavement 6 inches")</f>
        <v>Concrete Pavement 6 inches</v>
      </c>
      <c r="M28" s="5">
        <f>IF($F$5="M",0.58,0.48)</f>
        <v>0.48</v>
      </c>
      <c r="O28" s="50"/>
      <c r="P28" s="5"/>
    </row>
    <row r="29" spans="1:16" ht="22.5" customHeight="1">
      <c r="A29" s="26"/>
      <c r="B29" s="31"/>
      <c r="C29" s="61">
        <f t="shared" si="1"/>
      </c>
      <c r="D29" s="16"/>
      <c r="E29" s="29">
        <f t="shared" si="2"/>
      </c>
      <c r="F29" s="30">
        <f t="shared" si="0"/>
      </c>
      <c r="G29" s="62">
        <f t="shared" si="4"/>
      </c>
      <c r="H29" s="62">
        <f t="shared" si="3"/>
      </c>
      <c r="I29" s="55"/>
      <c r="J29" s="55"/>
      <c r="K29" s="4"/>
      <c r="L29" s="4" t="str">
        <f>IF($F$5="M","","Concrete Pavement 6.5 inches")</f>
        <v>Concrete Pavement 6.5 inches</v>
      </c>
      <c r="M29" s="5">
        <f>IF($F$5="M",0.61,0.51)</f>
        <v>0.51</v>
      </c>
      <c r="O29" s="50"/>
      <c r="P29" s="5"/>
    </row>
    <row r="30" spans="1:16" ht="22.5" customHeight="1">
      <c r="A30" s="26"/>
      <c r="B30" s="31"/>
      <c r="C30" s="61">
        <f t="shared" si="1"/>
      </c>
      <c r="D30" s="16"/>
      <c r="E30" s="29">
        <f t="shared" si="2"/>
      </c>
      <c r="F30" s="30">
        <f t="shared" si="0"/>
      </c>
      <c r="G30" s="62">
        <f aca="true" t="shared" si="5" ref="G30:G38">IF(F30="","",+C30*D30*F30)</f>
      </c>
      <c r="H30" s="62">
        <f aca="true" t="shared" si="6" ref="H30:H38">IF(G30="","",+H29+G30)</f>
      </c>
      <c r="I30" s="55"/>
      <c r="J30" s="55"/>
      <c r="K30" s="4"/>
      <c r="L30" s="4" t="str">
        <f>IF($F$5="M","Concrete Pavement 180 mm","Concrete Pavement 7 inches")</f>
        <v>Concrete Pavement 7 inches</v>
      </c>
      <c r="M30" s="5">
        <f>IF($F$5="M",0.65,0.54)</f>
        <v>0.54</v>
      </c>
      <c r="O30" s="50"/>
      <c r="P30" s="5"/>
    </row>
    <row r="31" spans="1:16" ht="22.5" customHeight="1">
      <c r="A31" s="26"/>
      <c r="B31" s="31"/>
      <c r="C31" s="61">
        <f t="shared" si="1"/>
      </c>
      <c r="D31" s="16"/>
      <c r="E31" s="29">
        <f t="shared" si="2"/>
      </c>
      <c r="F31" s="30">
        <f t="shared" si="0"/>
      </c>
      <c r="G31" s="62">
        <f t="shared" si="5"/>
      </c>
      <c r="H31" s="62">
        <f t="shared" si="6"/>
      </c>
      <c r="I31" s="55"/>
      <c r="J31" s="55"/>
      <c r="K31" s="4"/>
      <c r="L31" s="4" t="str">
        <f>IF($F$5="M","Concrete Pavement 190 mm","Concrete Pavement 7.5 inches")</f>
        <v>Concrete Pavement 7.5 inches</v>
      </c>
      <c r="M31" s="5">
        <f>IF($F$5="M",0.69,0.57)</f>
        <v>0.57</v>
      </c>
      <c r="O31" s="50"/>
      <c r="P31" s="5"/>
    </row>
    <row r="32" spans="1:16" ht="22.5" customHeight="1">
      <c r="A32" s="26"/>
      <c r="B32" s="31"/>
      <c r="C32" s="61">
        <f t="shared" si="1"/>
      </c>
      <c r="D32" s="16"/>
      <c r="E32" s="29">
        <f t="shared" si="2"/>
      </c>
      <c r="F32" s="30">
        <f t="shared" si="0"/>
      </c>
      <c r="G32" s="62">
        <f t="shared" si="5"/>
      </c>
      <c r="H32" s="62">
        <f t="shared" si="6"/>
      </c>
      <c r="I32" s="55"/>
      <c r="J32" s="55"/>
      <c r="K32" s="4"/>
      <c r="L32" s="4" t="str">
        <f>IF($F$5="M","Concrete Pavement 200 mm","Concrete Pavement 8 inches")</f>
        <v>Concrete Pavement 8 inches</v>
      </c>
      <c r="M32" s="5">
        <f>IF($F$5="M",0.72,0.6)</f>
        <v>0.6</v>
      </c>
      <c r="O32" s="50"/>
      <c r="P32" s="5"/>
    </row>
    <row r="33" spans="1:16" ht="22.5" customHeight="1">
      <c r="A33" s="26"/>
      <c r="B33" s="31"/>
      <c r="C33" s="61">
        <f t="shared" si="1"/>
      </c>
      <c r="D33" s="16"/>
      <c r="E33" s="29">
        <f t="shared" si="2"/>
      </c>
      <c r="F33" s="30">
        <f t="shared" si="0"/>
      </c>
      <c r="G33" s="62">
        <f t="shared" si="5"/>
      </c>
      <c r="H33" s="62">
        <f t="shared" si="6"/>
      </c>
      <c r="I33" s="55"/>
      <c r="J33" s="55"/>
      <c r="K33" s="6"/>
      <c r="L33" s="4" t="str">
        <f>IF($F$5="M","Concrete Pavement 220 mm","Concrete Pavement 8 1/2 inches")</f>
        <v>Concrete Pavement 8 1/2 inches</v>
      </c>
      <c r="M33" s="5">
        <f>IF($F$5="M",0.76,0.63)</f>
        <v>0.63</v>
      </c>
      <c r="N33" s="6"/>
      <c r="O33" s="50"/>
      <c r="P33" s="50"/>
    </row>
    <row r="34" spans="1:16" ht="22.5" customHeight="1">
      <c r="A34" s="26"/>
      <c r="B34" s="31"/>
      <c r="C34" s="61">
        <f t="shared" si="1"/>
      </c>
      <c r="D34" s="16"/>
      <c r="E34" s="29">
        <f t="shared" si="2"/>
      </c>
      <c r="F34" s="30">
        <f t="shared" si="0"/>
      </c>
      <c r="G34" s="62">
        <f t="shared" si="5"/>
      </c>
      <c r="H34" s="62">
        <f t="shared" si="6"/>
      </c>
      <c r="I34" s="55"/>
      <c r="J34" s="55"/>
      <c r="K34" s="7"/>
      <c r="L34" s="4" t="str">
        <f>IF($F$5="M","Concrete Pavement 230 mm","Concrete Pavement 9 inches")</f>
        <v>Concrete Pavement 9 inches</v>
      </c>
      <c r="M34" s="5">
        <f>IF($F$5="M",0.79,0.66)</f>
        <v>0.66</v>
      </c>
      <c r="N34" s="6"/>
      <c r="O34" s="50"/>
      <c r="P34" s="50"/>
    </row>
    <row r="35" spans="1:16" ht="22.5" customHeight="1">
      <c r="A35" s="26"/>
      <c r="B35" s="31"/>
      <c r="C35" s="61">
        <f t="shared" si="1"/>
      </c>
      <c r="D35" s="16"/>
      <c r="E35" s="29">
        <f t="shared" si="2"/>
      </c>
      <c r="F35" s="30">
        <f t="shared" si="0"/>
      </c>
      <c r="G35" s="62">
        <f t="shared" si="5"/>
      </c>
      <c r="H35" s="62">
        <f t="shared" si="6"/>
      </c>
      <c r="I35" s="55"/>
      <c r="J35" s="55"/>
      <c r="K35" s="7"/>
      <c r="L35" s="4" t="str">
        <f>IF($F$5="M","Concrete Pavement 240 mm","Concrete Pavement 9 1/2 inches")</f>
        <v>Concrete Pavement 9 1/2 inches</v>
      </c>
      <c r="M35" s="5">
        <f>IF($F$5="M",0.82,0.69)</f>
        <v>0.69</v>
      </c>
      <c r="N35" s="6"/>
      <c r="O35" s="50"/>
      <c r="P35" s="50"/>
    </row>
    <row r="36" spans="1:16" ht="22.5" customHeight="1">
      <c r="A36" s="26"/>
      <c r="B36" s="31"/>
      <c r="C36" s="61">
        <f t="shared" si="1"/>
      </c>
      <c r="D36" s="16"/>
      <c r="E36" s="29">
        <f t="shared" si="2"/>
      </c>
      <c r="F36" s="30">
        <f t="shared" si="0"/>
      </c>
      <c r="G36" s="62">
        <f t="shared" si="5"/>
      </c>
      <c r="H36" s="62">
        <f t="shared" si="6"/>
      </c>
      <c r="I36" s="55"/>
      <c r="J36" s="55"/>
      <c r="K36" s="7"/>
      <c r="L36" s="4" t="str">
        <f>IF($F$5="M","Concrete Pavement 250 mm","Concrete Pavement 10 inches")</f>
        <v>Concrete Pavement 10 inches</v>
      </c>
      <c r="M36" s="5">
        <f>IF($F$5="M",0.86,0.72)</f>
        <v>0.72</v>
      </c>
      <c r="N36" s="6"/>
      <c r="O36" s="50"/>
      <c r="P36" s="50"/>
    </row>
    <row r="37" spans="1:16" ht="22.5" customHeight="1">
      <c r="A37" s="26"/>
      <c r="B37" s="31"/>
      <c r="C37" s="61">
        <f t="shared" si="1"/>
      </c>
      <c r="D37" s="16"/>
      <c r="E37" s="29">
        <f t="shared" si="2"/>
      </c>
      <c r="F37" s="30">
        <f t="shared" si="0"/>
      </c>
      <c r="G37" s="62">
        <f t="shared" si="5"/>
      </c>
      <c r="H37" s="62">
        <f t="shared" si="6"/>
      </c>
      <c r="I37" s="55"/>
      <c r="J37" s="55"/>
      <c r="K37" s="7"/>
      <c r="L37" s="4">
        <f>IF(F5="M","Concrete Pavement 260 mm","")</f>
      </c>
      <c r="M37" s="5">
        <v>0.86</v>
      </c>
      <c r="N37" s="6"/>
      <c r="O37" s="50"/>
      <c r="P37" s="50"/>
    </row>
    <row r="38" spans="1:16" ht="22.5" customHeight="1">
      <c r="A38" s="26"/>
      <c r="B38" s="31"/>
      <c r="C38" s="61">
        <f t="shared" si="1"/>
      </c>
      <c r="D38" s="16"/>
      <c r="E38" s="29">
        <f t="shared" si="2"/>
      </c>
      <c r="F38" s="30">
        <f t="shared" si="0"/>
      </c>
      <c r="G38" s="62">
        <f t="shared" si="5"/>
      </c>
      <c r="H38" s="62">
        <f t="shared" si="6"/>
      </c>
      <c r="I38" s="55"/>
      <c r="J38" s="55"/>
      <c r="K38" s="7"/>
      <c r="L38" s="4" t="str">
        <f>IF($F$5="M","Concrete Pavement 270 mm","Concrete Pavement 10 1/2 inches")</f>
        <v>Concrete Pavement 10 1/2 inches</v>
      </c>
      <c r="M38" s="5">
        <f>IF($F$5="M",0.89,0.75)</f>
        <v>0.75</v>
      </c>
      <c r="N38" s="6"/>
      <c r="O38" s="50"/>
      <c r="P38" s="50"/>
    </row>
    <row r="39" spans="1:16" ht="22.5" customHeight="1">
      <c r="A39" s="39"/>
      <c r="B39" s="40"/>
      <c r="C39" s="32"/>
      <c r="D39" s="32"/>
      <c r="E39" s="33"/>
      <c r="F39" s="34"/>
      <c r="G39" s="35"/>
      <c r="H39" s="36" t="s">
        <v>66</v>
      </c>
      <c r="I39" s="47"/>
      <c r="J39" s="55"/>
      <c r="K39" s="7"/>
      <c r="L39" s="4" t="str">
        <f>IF($F$5="M","Concrete Pavement 280 mm","Concrete Pavement 11 inches")</f>
        <v>Concrete Pavement 11 inches</v>
      </c>
      <c r="M39" s="5">
        <f>IF($F$5="M",0.93,0.78)</f>
        <v>0.78</v>
      </c>
      <c r="N39" s="6"/>
      <c r="O39" s="50"/>
      <c r="P39" s="50"/>
    </row>
    <row r="40" spans="9:14" ht="12.75">
      <c r="I40" s="41"/>
      <c r="J40" s="41"/>
      <c r="K40" s="7"/>
      <c r="L40" s="4" t="str">
        <f>IF($F$5="M","Concrete Pavement 290 mm","Concrete Pavement 11 1/2 inches")</f>
        <v>Concrete Pavement 11 1/2 inches</v>
      </c>
      <c r="M40" s="5">
        <f>IF($F$5="M",0.96,0.81)</f>
        <v>0.81</v>
      </c>
      <c r="N40" s="6"/>
    </row>
    <row r="41" spans="1:14" ht="12.75">
      <c r="A41" s="42"/>
      <c r="B41" s="43"/>
      <c r="C41" s="44"/>
      <c r="D41" s="44"/>
      <c r="E41" s="45"/>
      <c r="F41" s="46"/>
      <c r="G41" s="47"/>
      <c r="H41" s="47"/>
      <c r="I41" s="47"/>
      <c r="J41" s="47"/>
      <c r="K41" s="7"/>
      <c r="L41" s="4" t="str">
        <f>IF($F$5="M","Concrete Pavement 300 mm","Concrete Pavement 12 inches")</f>
        <v>Concrete Pavement 12 inches</v>
      </c>
      <c r="M41" s="5">
        <f>IF($F$5="M",0.99,0.83)</f>
        <v>0.83</v>
      </c>
      <c r="N41" s="6"/>
    </row>
    <row r="42" spans="1:14" ht="12.75">
      <c r="A42" s="42"/>
      <c r="B42" s="43"/>
      <c r="C42" s="44"/>
      <c r="D42" s="44"/>
      <c r="E42" s="45"/>
      <c r="F42" s="46"/>
      <c r="G42" s="47"/>
      <c r="H42" s="47"/>
      <c r="I42" s="47"/>
      <c r="J42" s="47"/>
      <c r="K42" s="7"/>
      <c r="L42" s="4" t="str">
        <f>IF($F$5="M","Concrete Pavement 320 mm","Concrete Pavement 12 1/2 inches")</f>
        <v>Concrete Pavement 12 1/2 inches</v>
      </c>
      <c r="M42" s="5">
        <f>IF($F$5="M",1.02,0.86)</f>
        <v>0.86</v>
      </c>
      <c r="N42" s="6"/>
    </row>
    <row r="43" spans="1:14" ht="12.75">
      <c r="A43" s="42"/>
      <c r="B43" s="43"/>
      <c r="C43" s="44"/>
      <c r="D43" s="44"/>
      <c r="E43" s="45"/>
      <c r="F43" s="46"/>
      <c r="G43" s="47"/>
      <c r="H43" s="47"/>
      <c r="I43" s="47"/>
      <c r="J43" s="47"/>
      <c r="K43" s="7"/>
      <c r="L43" s="4" t="str">
        <f>IF($F$5="M","Concrete Pavement 330 mm","Concrete Pavement 13 inches")</f>
        <v>Concrete Pavement 13 inches</v>
      </c>
      <c r="M43" s="5">
        <f>IF($F$5="M",1.06,0.89)</f>
        <v>0.89</v>
      </c>
      <c r="N43" s="6"/>
    </row>
    <row r="44" spans="1:14" ht="12.75">
      <c r="A44" s="42"/>
      <c r="B44" s="43"/>
      <c r="C44" s="44"/>
      <c r="D44" s="44"/>
      <c r="E44" s="45"/>
      <c r="F44" s="46"/>
      <c r="G44" s="47"/>
      <c r="H44" s="47"/>
      <c r="I44" s="47"/>
      <c r="J44" s="47"/>
      <c r="K44" s="7"/>
      <c r="L44" s="4" t="str">
        <f>IF($F$5="M","Concrete Pavement 340 mm","Concrete Pavement 13 1/2 inches")</f>
        <v>Concrete Pavement 13 1/2 inches</v>
      </c>
      <c r="M44" s="5">
        <f>IF($F$5="M",1.1,0.92)</f>
        <v>0.92</v>
      </c>
      <c r="N44" s="6"/>
    </row>
    <row r="45" spans="1:14" ht="12.75">
      <c r="A45" s="42"/>
      <c r="B45" s="43"/>
      <c r="C45" s="44"/>
      <c r="D45" s="44"/>
      <c r="E45" s="45"/>
      <c r="F45" s="46"/>
      <c r="G45" s="47"/>
      <c r="H45" s="47"/>
      <c r="I45" s="47"/>
      <c r="J45" s="47"/>
      <c r="K45" s="7"/>
      <c r="L45" s="4" t="str">
        <f>IF($F$5="M","Concrete Pavement 360 mm","Concrete Pavement 14 inches")</f>
        <v>Concrete Pavement 14 inches</v>
      </c>
      <c r="M45" s="5">
        <f>IF($F$5="M",1.14,0.95)</f>
        <v>0.95</v>
      </c>
      <c r="N45" s="6"/>
    </row>
    <row r="46" spans="1:14" ht="12.75">
      <c r="A46" s="48"/>
      <c r="B46" s="48"/>
      <c r="C46" s="48"/>
      <c r="D46" s="48"/>
      <c r="E46" s="49"/>
      <c r="F46" s="48"/>
      <c r="G46" s="48"/>
      <c r="H46" s="48"/>
      <c r="I46" s="48"/>
      <c r="J46" s="48"/>
      <c r="K46" s="7"/>
      <c r="L46" s="4" t="str">
        <f>IF($F$5="M","Concrete Pavement 370 mm","Concrete Pavement 14 1/2 inches")</f>
        <v>Concrete Pavement 14 1/2 inches</v>
      </c>
      <c r="M46" s="5">
        <f>IF($F$5="M",1.17,0.98)</f>
        <v>0.98</v>
      </c>
      <c r="N46" s="6"/>
    </row>
    <row r="47" spans="1:14" ht="12.75">
      <c r="A47" s="50"/>
      <c r="B47" s="50"/>
      <c r="C47" s="50"/>
      <c r="D47" s="50"/>
      <c r="E47" s="51"/>
      <c r="F47" s="50"/>
      <c r="G47" s="50"/>
      <c r="H47" s="50"/>
      <c r="I47" s="50"/>
      <c r="J47" s="50"/>
      <c r="K47" s="7"/>
      <c r="L47" s="4" t="s">
        <v>60</v>
      </c>
      <c r="M47" s="5">
        <f>IF($F$5="M",334.65,10.2)</f>
        <v>10.2</v>
      </c>
      <c r="N47" s="6"/>
    </row>
    <row r="48" spans="1:14" ht="12.75">
      <c r="A48" s="50"/>
      <c r="B48" s="50"/>
      <c r="C48" s="50"/>
      <c r="D48" s="50"/>
      <c r="E48" s="51"/>
      <c r="F48" s="50"/>
      <c r="G48" s="50"/>
      <c r="H48" s="50"/>
      <c r="I48" s="50"/>
      <c r="J48" s="50"/>
      <c r="K48" s="7"/>
      <c r="L48" s="4" t="s">
        <v>59</v>
      </c>
      <c r="M48" s="5">
        <f>IF($F$5="M",2.65,2.4)</f>
        <v>2.4</v>
      </c>
      <c r="N48" s="6"/>
    </row>
    <row r="49" spans="1:14" ht="12.75">
      <c r="A49" s="50"/>
      <c r="B49" s="50"/>
      <c r="C49" s="50"/>
      <c r="D49" s="50"/>
      <c r="E49" s="51"/>
      <c r="F49" s="50"/>
      <c r="G49" s="50"/>
      <c r="H49" s="50"/>
      <c r="I49" s="50"/>
      <c r="J49" s="50"/>
      <c r="K49" s="7"/>
      <c r="L49" s="4" t="s">
        <v>64</v>
      </c>
      <c r="M49" s="5">
        <f>IF($F$5="M",2.65,2.4)</f>
        <v>2.4</v>
      </c>
      <c r="N49" s="6"/>
    </row>
    <row r="50" spans="1:14" ht="12.75">
      <c r="A50" s="50"/>
      <c r="B50" s="50"/>
      <c r="C50" s="50"/>
      <c r="D50" s="50"/>
      <c r="E50" s="51"/>
      <c r="F50" s="50"/>
      <c r="G50" s="50"/>
      <c r="H50" s="50"/>
      <c r="I50" s="50"/>
      <c r="J50" s="50"/>
      <c r="K50" s="7"/>
      <c r="L50" s="4" t="s">
        <v>65</v>
      </c>
      <c r="M50" s="5">
        <f>IF($F$5="M",2.65,2.4)</f>
        <v>2.4</v>
      </c>
      <c r="N50" s="6"/>
    </row>
    <row r="51" spans="11:13" ht="12.75">
      <c r="K51" s="7"/>
      <c r="L51" s="4"/>
      <c r="M51" s="5"/>
    </row>
    <row r="52" spans="11:13" ht="12.75">
      <c r="K52" s="7"/>
      <c r="L52" s="6"/>
      <c r="M52" s="6"/>
    </row>
    <row r="53" spans="11:13" ht="12.75">
      <c r="K53" s="7"/>
      <c r="L53" s="37"/>
      <c r="M53" s="37"/>
    </row>
    <row r="54" spans="11:13" ht="12.75">
      <c r="K54" s="7"/>
      <c r="L54" s="37"/>
      <c r="M54" s="37"/>
    </row>
    <row r="55" spans="12:13" ht="12.75">
      <c r="L55" s="37"/>
      <c r="M55" s="37"/>
    </row>
    <row r="56" spans="12:13" ht="12.75">
      <c r="L56" s="37"/>
      <c r="M56" s="37"/>
    </row>
    <row r="57" spans="12:13" ht="12.75">
      <c r="L57" s="37"/>
      <c r="M57" s="37"/>
    </row>
    <row r="58" spans="12:13" ht="12.75">
      <c r="L58" s="37"/>
      <c r="M58" s="37"/>
    </row>
    <row r="59" spans="12:13" ht="12.75">
      <c r="L59" s="37"/>
      <c r="M59" s="37"/>
    </row>
    <row r="60" spans="12:13" ht="12.75">
      <c r="L60" s="37"/>
      <c r="M60" s="37"/>
    </row>
    <row r="61" spans="12:13" ht="12.75">
      <c r="L61" s="37"/>
      <c r="M61" s="37"/>
    </row>
    <row r="62" spans="12:13" ht="12.75">
      <c r="L62" s="37"/>
      <c r="M62" s="37"/>
    </row>
    <row r="63" spans="12:13" ht="12.75">
      <c r="L63" s="37"/>
      <c r="M63" s="37"/>
    </row>
    <row r="64" spans="12:13" ht="12.75">
      <c r="L64" s="37"/>
      <c r="M64" s="37"/>
    </row>
    <row r="65" spans="12:13" ht="12.75">
      <c r="L65" s="37"/>
      <c r="M65" s="37"/>
    </row>
    <row r="66" spans="12:13" ht="12.75">
      <c r="L66" s="37"/>
      <c r="M66" s="37"/>
    </row>
    <row r="67" spans="12:13" ht="12.75">
      <c r="L67" s="37"/>
      <c r="M67" s="37"/>
    </row>
    <row r="68" spans="12:13" ht="12.75">
      <c r="L68" s="37"/>
      <c r="M68" s="37"/>
    </row>
    <row r="69" spans="12:13" ht="12.75">
      <c r="L69" s="37"/>
      <c r="M69" s="37"/>
    </row>
    <row r="70" ht="12.75">
      <c r="L70" s="37"/>
    </row>
    <row r="71" ht="12.75">
      <c r="L71" s="37"/>
    </row>
    <row r="72" ht="12.75">
      <c r="L72" s="37"/>
    </row>
  </sheetData>
  <sheetProtection password="BF11" sheet="1" selectLockedCells="1"/>
  <mergeCells count="4">
    <mergeCell ref="B6:E6"/>
    <mergeCell ref="F3:H3"/>
    <mergeCell ref="F4:H4"/>
    <mergeCell ref="D5:E5"/>
  </mergeCells>
  <dataValidations count="2">
    <dataValidation type="list" showInputMessage="1" showErrorMessage="1" promptTitle="Data Entry!" prompt="Only an &quot;E&quot; for English system or a &quot;M&quot; for Metric can be entered." errorTitle="WRONG DATA!" error="ONLY AN &quot;E&quot; FOR ENGLISH UNITS OR A &quot;M&quot; FOR METRIC WILL BE ACCEPTED." sqref="F5">
      <formula1>"M,E"</formula1>
    </dataValidation>
    <dataValidation type="list" allowBlank="1" showInputMessage="1" showErrorMessage="1" promptTitle="Data Entry Restriction!" prompt="Please select one item from this drop down box. No other values will be accepted." errorTitle="Wrong data!" error="Please enter a value from the drop down list." sqref="B6:E6">
      <formula1>$L$7:$L$50</formula1>
    </dataValidation>
  </dataValidations>
  <printOptions/>
  <pageMargins left="1.06" right="0.5" top="0.5" bottom="0" header="0.5" footer="0"/>
  <pageSetup blackAndWhite="1" fitToHeight="1" fitToWidth="1" horizontalDpi="600" verticalDpi="600" orientation="portrait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"/>
  <sheetViews>
    <sheetView showGridLines="0" showRowColHeaders="0" zoomScalePageLayoutView="0" workbookViewId="0" topLeftCell="A1">
      <selection activeCell="B6" sqref="B6:E6"/>
    </sheetView>
  </sheetViews>
  <sheetFormatPr defaultColWidth="9.140625" defaultRowHeight="12.75"/>
  <cols>
    <col min="1" max="1" width="13.00390625" style="0" customWidth="1"/>
    <col min="2" max="2" width="13.28125" style="0" customWidth="1"/>
    <col min="3" max="3" width="9.00390625" style="0" customWidth="1"/>
    <col min="4" max="4" width="9.28125" style="0" customWidth="1"/>
    <col min="5" max="5" width="11.00390625" style="1" customWidth="1"/>
    <col min="6" max="6" width="10.57421875" style="0" customWidth="1"/>
    <col min="7" max="8" width="16.00390625" style="0" bestFit="1" customWidth="1"/>
    <col min="11" max="11" width="3.57421875" style="0" customWidth="1"/>
    <col min="12" max="12" width="47.00390625" style="0" hidden="1" customWidth="1"/>
    <col min="13" max="13" width="8.28125" style="0" hidden="1" customWidth="1"/>
    <col min="14" max="14" width="7.140625" style="0" customWidth="1"/>
    <col min="15" max="16" width="9.140625" style="0" customWidth="1"/>
  </cols>
  <sheetData>
    <row r="1" spans="1:16" ht="15">
      <c r="A1" s="8"/>
      <c r="B1" s="8"/>
      <c r="C1" s="9" t="s">
        <v>67</v>
      </c>
      <c r="D1" s="8"/>
      <c r="E1" s="10"/>
      <c r="F1" s="8"/>
      <c r="G1" s="8"/>
      <c r="H1" s="8"/>
      <c r="I1" s="52"/>
      <c r="J1" s="52"/>
      <c r="K1" s="50"/>
      <c r="L1" s="50"/>
      <c r="M1" s="50"/>
      <c r="N1" s="50"/>
      <c r="O1" s="50"/>
      <c r="P1" s="50"/>
    </row>
    <row r="2" spans="1:16" ht="17.25" customHeight="1">
      <c r="A2" s="8"/>
      <c r="B2" s="8"/>
      <c r="C2" s="8"/>
      <c r="D2" s="8"/>
      <c r="E2" s="10"/>
      <c r="F2" s="8"/>
      <c r="G2" s="8"/>
      <c r="H2" s="8"/>
      <c r="I2" s="52"/>
      <c r="J2" s="52"/>
      <c r="K2" s="50"/>
      <c r="L2" s="50"/>
      <c r="M2" s="50"/>
      <c r="N2" s="50"/>
      <c r="O2" s="50"/>
      <c r="P2" s="50"/>
    </row>
    <row r="3" spans="1:16" ht="21" customHeight="1">
      <c r="A3" s="11"/>
      <c r="B3" s="12"/>
      <c r="C3" s="11"/>
      <c r="D3" s="11"/>
      <c r="E3" s="63" t="s">
        <v>42</v>
      </c>
      <c r="F3" s="97">
        <f>IF('Item 1'!F3:H3="","",'Item 1'!F3:H3)</f>
      </c>
      <c r="G3" s="97"/>
      <c r="H3" s="97"/>
      <c r="I3" s="53"/>
      <c r="J3" s="53"/>
      <c r="K3" s="50"/>
      <c r="L3" s="50"/>
      <c r="M3" s="50"/>
      <c r="N3" s="50"/>
      <c r="O3" s="50"/>
      <c r="P3" s="50"/>
    </row>
    <row r="4" spans="1:16" ht="21" customHeight="1">
      <c r="A4" s="13" t="s">
        <v>43</v>
      </c>
      <c r="B4" s="82">
        <f>IF('Item 1'!B4="","",'Item 1'!B4)</f>
      </c>
      <c r="C4" s="38"/>
      <c r="D4" s="11"/>
      <c r="E4" s="64" t="s">
        <v>41</v>
      </c>
      <c r="F4" s="98">
        <f>IF('Item 1'!F4:H4="","",'Item 1'!F4:H4)</f>
      </c>
      <c r="G4" s="99"/>
      <c r="H4" s="100"/>
      <c r="I4" s="53"/>
      <c r="J4" s="53"/>
      <c r="K4" s="50"/>
      <c r="L4" s="57"/>
      <c r="M4" s="50"/>
      <c r="N4" s="50"/>
      <c r="O4" s="50"/>
      <c r="P4" s="50"/>
    </row>
    <row r="5" spans="1:16" ht="21" customHeight="1">
      <c r="A5" s="79" t="s">
        <v>44</v>
      </c>
      <c r="B5" s="15"/>
      <c r="C5" s="81">
        <f>IF('Item 1'!C5="","",'Item 1'!C5)</f>
      </c>
      <c r="D5" s="95" t="s">
        <v>46</v>
      </c>
      <c r="E5" s="96"/>
      <c r="F5" s="80">
        <f>IF('Item 1'!F5="","",'Item 1'!F5)</f>
      </c>
      <c r="G5" s="65" t="s">
        <v>45</v>
      </c>
      <c r="H5" s="60">
        <f>IF(B6="","",VLOOKUP(B6,L7:M50,2,FALSE))</f>
      </c>
      <c r="I5" s="53"/>
      <c r="J5" s="53"/>
      <c r="K5" s="4"/>
      <c r="L5" s="56"/>
      <c r="N5" s="4"/>
      <c r="O5" s="50"/>
      <c r="P5" s="50"/>
    </row>
    <row r="6" spans="1:16" ht="21" customHeight="1">
      <c r="A6" s="79" t="s">
        <v>20</v>
      </c>
      <c r="B6" s="88"/>
      <c r="C6" s="89"/>
      <c r="D6" s="89"/>
      <c r="E6" s="90"/>
      <c r="F6" s="58"/>
      <c r="H6" s="59"/>
      <c r="I6" s="53"/>
      <c r="J6" s="53"/>
      <c r="K6" s="4"/>
      <c r="L6" s="4" t="s">
        <v>21</v>
      </c>
      <c r="M6" s="4" t="s">
        <v>37</v>
      </c>
      <c r="O6" s="50"/>
      <c r="P6" s="4"/>
    </row>
    <row r="7" spans="1:16" ht="12.75">
      <c r="A7" s="11"/>
      <c r="B7" s="11"/>
      <c r="C7" s="17"/>
      <c r="D7" s="11"/>
      <c r="E7" s="7"/>
      <c r="F7" s="11"/>
      <c r="G7" s="11"/>
      <c r="H7" s="11"/>
      <c r="I7" s="53"/>
      <c r="J7" s="53"/>
      <c r="K7" s="4"/>
      <c r="L7" s="4" t="s">
        <v>22</v>
      </c>
      <c r="M7" s="5">
        <f>IF($F$5="M",0.33,0.25)</f>
        <v>0.25</v>
      </c>
      <c r="O7" s="50"/>
      <c r="P7" s="5"/>
    </row>
    <row r="8" spans="1:16" ht="12.75">
      <c r="A8" s="18" t="s">
        <v>0</v>
      </c>
      <c r="B8" s="18" t="s">
        <v>18</v>
      </c>
      <c r="C8" s="19" t="s">
        <v>2</v>
      </c>
      <c r="D8" s="18" t="s">
        <v>5</v>
      </c>
      <c r="E8" s="20" t="s">
        <v>8</v>
      </c>
      <c r="F8" s="18" t="s">
        <v>10</v>
      </c>
      <c r="G8" s="18" t="s">
        <v>13</v>
      </c>
      <c r="H8" s="18" t="s">
        <v>8</v>
      </c>
      <c r="I8" s="54"/>
      <c r="J8" s="54"/>
      <c r="K8" s="4"/>
      <c r="L8" s="4" t="s">
        <v>61</v>
      </c>
      <c r="M8" s="5">
        <f>IF($F$5="M",0.33,0.25)</f>
        <v>0.25</v>
      </c>
      <c r="O8" s="50"/>
      <c r="P8" s="5"/>
    </row>
    <row r="9" spans="1:16" ht="12.75">
      <c r="A9" s="21"/>
      <c r="B9" s="22" t="s">
        <v>16</v>
      </c>
      <c r="C9" s="22" t="s">
        <v>3</v>
      </c>
      <c r="D9" s="22" t="s">
        <v>6</v>
      </c>
      <c r="E9" s="23"/>
      <c r="F9" s="22" t="s">
        <v>11</v>
      </c>
      <c r="G9" s="22" t="s">
        <v>14</v>
      </c>
      <c r="H9" s="22" t="s">
        <v>9</v>
      </c>
      <c r="I9" s="54"/>
      <c r="J9" s="54"/>
      <c r="K9" s="4"/>
      <c r="L9" s="4" t="s">
        <v>19</v>
      </c>
      <c r="M9" s="5">
        <f>IF($F$5="M",0.43,0.33)</f>
        <v>0.33</v>
      </c>
      <c r="O9" s="50"/>
      <c r="P9" s="5"/>
    </row>
    <row r="10" spans="1:16" ht="12.75">
      <c r="A10" s="24" t="s">
        <v>1</v>
      </c>
      <c r="B10" s="24" t="s">
        <v>17</v>
      </c>
      <c r="C10" s="24" t="s">
        <v>4</v>
      </c>
      <c r="D10" s="24" t="s">
        <v>7</v>
      </c>
      <c r="E10" s="25" t="s">
        <v>9</v>
      </c>
      <c r="F10" s="24" t="s">
        <v>12</v>
      </c>
      <c r="G10" s="24" t="s">
        <v>15</v>
      </c>
      <c r="H10" s="24" t="s">
        <v>15</v>
      </c>
      <c r="I10" s="54"/>
      <c r="J10" s="54"/>
      <c r="K10" s="4"/>
      <c r="L10" s="4" t="s">
        <v>62</v>
      </c>
      <c r="M10" s="5">
        <f>IF($F$5="M",0.43,0.33)</f>
        <v>0.33</v>
      </c>
      <c r="O10" s="50"/>
      <c r="P10" s="5"/>
    </row>
    <row r="11" spans="1:16" ht="22.5" customHeight="1">
      <c r="A11" s="26"/>
      <c r="B11" s="27"/>
      <c r="C11" s="61">
        <f>IF(H5="","",ABS($H$5))</f>
      </c>
      <c r="D11" s="28"/>
      <c r="E11" s="29">
        <f>IF(D11="","",+D11)</f>
      </c>
      <c r="F11" s="30">
        <f>+IF(B11="","",(B11-$C$5))</f>
      </c>
      <c r="G11" s="62">
        <f>IF(C11="","",IF(F11="","",+C11*D11*F11))</f>
      </c>
      <c r="H11" s="62">
        <f>+G11</f>
      </c>
      <c r="I11" s="54"/>
      <c r="J11" s="54"/>
      <c r="K11" s="4"/>
      <c r="L11" s="4" t="s">
        <v>24</v>
      </c>
      <c r="M11" s="5">
        <f>IF($F$5="M",0.38,0.29)</f>
        <v>0.29</v>
      </c>
      <c r="O11" s="50"/>
      <c r="P11" s="5"/>
    </row>
    <row r="12" spans="1:16" ht="22.5" customHeight="1">
      <c r="A12" s="26"/>
      <c r="B12" s="31"/>
      <c r="C12" s="61">
        <f>IF(B12="","",ABS($H$5))</f>
      </c>
      <c r="D12" s="16"/>
      <c r="E12" s="29">
        <f>IF(D12="","",+D12+E11)</f>
      </c>
      <c r="F12" s="30">
        <f aca="true" t="shared" si="0" ref="F12:F38">+IF(B12="","",(B12-$C$5))</f>
      </c>
      <c r="G12" s="62">
        <f>IF(C12="","",IF(F12="","",+C12*D12*F12))</f>
      </c>
      <c r="H12" s="62">
        <f>IF(G12="","",+H11+G12)</f>
      </c>
      <c r="I12" s="55"/>
      <c r="J12" s="55"/>
      <c r="K12" s="4"/>
      <c r="L12" s="4" t="s">
        <v>25</v>
      </c>
      <c r="M12" s="5">
        <f>IF($F$5="M",0.39,0.3)</f>
        <v>0.3</v>
      </c>
      <c r="O12" s="50"/>
      <c r="P12" s="5"/>
    </row>
    <row r="13" spans="1:16" ht="22.5" customHeight="1">
      <c r="A13" s="26"/>
      <c r="B13" s="31"/>
      <c r="C13" s="61">
        <f aca="true" t="shared" si="1" ref="C13:C38">IF(B13="","",ABS($H$5))</f>
      </c>
      <c r="D13" s="16"/>
      <c r="E13" s="29">
        <f aca="true" t="shared" si="2" ref="E13:E38">IF(D13="","",+D13+E12)</f>
      </c>
      <c r="F13" s="30">
        <f t="shared" si="0"/>
      </c>
      <c r="G13" s="62">
        <f>IF(C13="","",IF(F13="","",+C13*D13*F13))</f>
      </c>
      <c r="H13" s="62">
        <f aca="true" t="shared" si="3" ref="H13:H38">IF(G13="","",+H12+G13)</f>
      </c>
      <c r="I13" s="55"/>
      <c r="J13" s="55"/>
      <c r="K13" s="4"/>
      <c r="L13" s="4" t="s">
        <v>63</v>
      </c>
      <c r="M13" s="5">
        <f>IF($F$5="M",0.36,0.3)</f>
        <v>0.3</v>
      </c>
      <c r="O13" s="50"/>
      <c r="P13" s="5"/>
    </row>
    <row r="14" spans="1:16" ht="22.5" customHeight="1">
      <c r="A14" s="26"/>
      <c r="B14" s="31"/>
      <c r="C14" s="61">
        <f t="shared" si="1"/>
      </c>
      <c r="D14" s="16"/>
      <c r="E14" s="29">
        <f t="shared" si="2"/>
      </c>
      <c r="F14" s="30">
        <f t="shared" si="0"/>
      </c>
      <c r="G14" s="62">
        <f>IF(C14="","",IF(F14="","",+C14*D14*F14))</f>
      </c>
      <c r="H14" s="62">
        <f t="shared" si="3"/>
      </c>
      <c r="I14" s="55"/>
      <c r="J14" s="55"/>
      <c r="K14" s="66"/>
      <c r="L14" s="4" t="str">
        <f>IF($F$5="M","Concrete Placement:  75mm","Concrete Placement:  3 inches")</f>
        <v>Concrete Placement:  3 inches</v>
      </c>
      <c r="M14" s="5">
        <f>IF($F$5="M",0.36,0.3)</f>
        <v>0.3</v>
      </c>
      <c r="O14" s="50"/>
      <c r="P14" s="67"/>
    </row>
    <row r="15" spans="1:16" ht="22.5" customHeight="1">
      <c r="A15" s="26"/>
      <c r="B15" s="31"/>
      <c r="C15" s="61">
        <f t="shared" si="1"/>
      </c>
      <c r="D15" s="16"/>
      <c r="E15" s="29">
        <f t="shared" si="2"/>
      </c>
      <c r="F15" s="30">
        <f t="shared" si="0"/>
      </c>
      <c r="G15" s="62">
        <f>IF(C15="","",IF(F15="","",+C15*D15*F15))</f>
      </c>
      <c r="H15" s="62">
        <f t="shared" si="3"/>
      </c>
      <c r="I15" s="55"/>
      <c r="J15" s="55"/>
      <c r="K15" s="66"/>
      <c r="L15" s="4" t="str">
        <f>IF($F$5="M","","Concrete Placement:  3.5 inches")</f>
        <v>Concrete Placement:  3.5 inches</v>
      </c>
      <c r="M15" s="5">
        <f>IF($F$5="M",0.39,0.33)</f>
        <v>0.33</v>
      </c>
      <c r="O15" s="50"/>
      <c r="P15" s="67"/>
    </row>
    <row r="16" spans="1:16" ht="22.5" customHeight="1">
      <c r="A16" s="26"/>
      <c r="B16" s="31"/>
      <c r="C16" s="61">
        <f t="shared" si="1"/>
      </c>
      <c r="D16" s="16"/>
      <c r="E16" s="29">
        <f t="shared" si="2"/>
      </c>
      <c r="F16" s="30">
        <f t="shared" si="0"/>
      </c>
      <c r="G16" s="62">
        <f aca="true" t="shared" si="4" ref="G16:G38">IF(F16="","",+C16*D16*F16)</f>
      </c>
      <c r="H16" s="62">
        <f t="shared" si="3"/>
      </c>
      <c r="I16" s="55"/>
      <c r="J16" s="55"/>
      <c r="K16" s="4"/>
      <c r="L16" s="4" t="str">
        <f>IF($F$5="M","Concrete Placement:  100mm","Concrete Placement:  4 inches")</f>
        <v>Concrete Placement:  4 inches</v>
      </c>
      <c r="M16" s="5">
        <f>IF($F$5="M",0.43,0.36)</f>
        <v>0.36</v>
      </c>
      <c r="O16" s="50"/>
      <c r="P16" s="5"/>
    </row>
    <row r="17" spans="1:16" ht="22.5" customHeight="1">
      <c r="A17" s="26"/>
      <c r="B17" s="31"/>
      <c r="C17" s="61">
        <f t="shared" si="1"/>
      </c>
      <c r="D17" s="16"/>
      <c r="E17" s="29">
        <f t="shared" si="2"/>
      </c>
      <c r="F17" s="30">
        <f t="shared" si="0"/>
      </c>
      <c r="G17" s="62">
        <f t="shared" si="4"/>
      </c>
      <c r="H17" s="62">
        <f t="shared" si="3"/>
      </c>
      <c r="I17" s="55"/>
      <c r="J17" s="55"/>
      <c r="K17" s="66"/>
      <c r="L17" s="4" t="str">
        <f>IF($F$5="M","","Concrete Placement:  4.5 inches")</f>
        <v>Concrete Placement:  4.5 inches</v>
      </c>
      <c r="M17" s="5">
        <f>IF($F$5="M",0.46,0.39)</f>
        <v>0.39</v>
      </c>
      <c r="O17" s="50"/>
      <c r="P17" s="67"/>
    </row>
    <row r="18" spans="1:16" ht="22.5" customHeight="1">
      <c r="A18" s="26"/>
      <c r="B18" s="31"/>
      <c r="C18" s="61">
        <f t="shared" si="1"/>
      </c>
      <c r="D18" s="16"/>
      <c r="E18" s="29">
        <f t="shared" si="2"/>
      </c>
      <c r="F18" s="30">
        <f t="shared" si="0"/>
      </c>
      <c r="G18" s="62">
        <f t="shared" si="4"/>
      </c>
      <c r="H18" s="62">
        <f t="shared" si="3"/>
      </c>
      <c r="I18" s="55"/>
      <c r="J18" s="55"/>
      <c r="K18" s="4"/>
      <c r="L18" s="4" t="str">
        <f>IF($F$5="M","Concrete Placement:  140mm","Concrete Placement:  5 inches")</f>
        <v>Concrete Placement:  5 inches</v>
      </c>
      <c r="M18" s="5">
        <f>IF($F$5="M",0.5,0.42)</f>
        <v>0.42</v>
      </c>
      <c r="O18" s="50"/>
      <c r="P18" s="5"/>
    </row>
    <row r="19" spans="1:16" ht="22.5" customHeight="1">
      <c r="A19" s="26"/>
      <c r="B19" s="31"/>
      <c r="C19" s="61">
        <f t="shared" si="1"/>
      </c>
      <c r="D19" s="16"/>
      <c r="E19" s="29">
        <f t="shared" si="2"/>
      </c>
      <c r="F19" s="30">
        <f t="shared" si="0"/>
      </c>
      <c r="G19" s="62">
        <f t="shared" si="4"/>
      </c>
      <c r="H19" s="62">
        <f t="shared" si="3"/>
      </c>
      <c r="I19" s="55"/>
      <c r="J19" s="55"/>
      <c r="K19" s="66"/>
      <c r="L19" s="4" t="str">
        <f>IF($F$5="M","","Concrete Placement:  5.5 inches")</f>
        <v>Concrete Placement:  5.5 inches</v>
      </c>
      <c r="M19" s="5">
        <f>IF($F$5="M",0.53,0.45)</f>
        <v>0.45</v>
      </c>
      <c r="O19" s="50"/>
      <c r="P19" s="67"/>
    </row>
    <row r="20" spans="1:16" ht="21" customHeight="1">
      <c r="A20" s="26"/>
      <c r="B20" s="31"/>
      <c r="C20" s="61">
        <f t="shared" si="1"/>
      </c>
      <c r="D20" s="16"/>
      <c r="E20" s="29">
        <f t="shared" si="2"/>
      </c>
      <c r="F20" s="30">
        <f t="shared" si="0"/>
      </c>
      <c r="G20" s="62">
        <f t="shared" si="4"/>
      </c>
      <c r="H20" s="62">
        <f t="shared" si="3"/>
      </c>
      <c r="I20" s="55"/>
      <c r="J20" s="55"/>
      <c r="K20" s="4"/>
      <c r="L20" s="4" t="str">
        <f>IF($F$5="M","Concrete Placement:  160mm","Concrete Placement:  6 inches")</f>
        <v>Concrete Placement:  6 inches</v>
      </c>
      <c r="M20" s="5">
        <f>IF($F$5="M",0.57,0.48)</f>
        <v>0.48</v>
      </c>
      <c r="O20" s="50"/>
      <c r="P20" s="5"/>
    </row>
    <row r="21" spans="1:16" ht="21" customHeight="1">
      <c r="A21" s="26"/>
      <c r="B21" s="31"/>
      <c r="C21" s="61">
        <f t="shared" si="1"/>
      </c>
      <c r="D21" s="16"/>
      <c r="E21" s="29">
        <f t="shared" si="2"/>
      </c>
      <c r="F21" s="30">
        <f t="shared" si="0"/>
      </c>
      <c r="G21" s="62">
        <f t="shared" si="4"/>
      </c>
      <c r="H21" s="62">
        <f t="shared" si="3"/>
      </c>
      <c r="I21" s="55"/>
      <c r="J21" s="55"/>
      <c r="K21" s="66"/>
      <c r="L21" s="4" t="str">
        <f>IF($F$5="M","Bonded Concrete Pavement (75mm)","Bonded Concrete Pavement (3 inches)")</f>
        <v>Bonded Concrete Pavement (3 inches)</v>
      </c>
      <c r="M21" s="5">
        <f>IF($F$5="M",0.36,0.3)</f>
        <v>0.3</v>
      </c>
      <c r="O21" s="50"/>
      <c r="P21" s="67"/>
    </row>
    <row r="22" spans="1:16" ht="21" customHeight="1">
      <c r="A22" s="26"/>
      <c r="B22" s="31"/>
      <c r="C22" s="61">
        <f t="shared" si="1"/>
      </c>
      <c r="D22" s="16"/>
      <c r="E22" s="29">
        <f t="shared" si="2"/>
      </c>
      <c r="F22" s="30">
        <f t="shared" si="0"/>
      </c>
      <c r="G22" s="62">
        <f t="shared" si="4"/>
      </c>
      <c r="H22" s="62">
        <f t="shared" si="3"/>
      </c>
      <c r="I22" s="55"/>
      <c r="J22" s="55"/>
      <c r="K22" s="4"/>
      <c r="L22" s="4" t="str">
        <f>IF($F$5="M","","Bonded Concrete Pavement (3.5 inches)")</f>
        <v>Bonded Concrete Pavement (3.5 inches)</v>
      </c>
      <c r="M22" s="5">
        <f>IF($F$5="M",0.39,0.33)</f>
        <v>0.33</v>
      </c>
      <c r="O22" s="50"/>
      <c r="P22" s="5"/>
    </row>
    <row r="23" spans="1:16" ht="22.5" customHeight="1">
      <c r="A23" s="26"/>
      <c r="B23" s="31"/>
      <c r="C23" s="61">
        <f t="shared" si="1"/>
      </c>
      <c r="D23" s="16"/>
      <c r="E23" s="29">
        <f t="shared" si="2"/>
      </c>
      <c r="F23" s="30">
        <f t="shared" si="0"/>
      </c>
      <c r="G23" s="62">
        <f t="shared" si="4"/>
      </c>
      <c r="H23" s="62">
        <f t="shared" si="3"/>
      </c>
      <c r="I23" s="55"/>
      <c r="J23" s="55"/>
      <c r="K23" s="66"/>
      <c r="L23" s="4" t="str">
        <f>IF($F$5="M","Bonded Concrete Pavement (100mm)","Bonded Concrete Pavement (4 inches)")</f>
        <v>Bonded Concrete Pavement (4 inches)</v>
      </c>
      <c r="M23" s="5">
        <f>IF($F$5="M",0.43,0.36)</f>
        <v>0.36</v>
      </c>
      <c r="O23" s="50"/>
      <c r="P23" s="67"/>
    </row>
    <row r="24" spans="1:16" ht="22.5" customHeight="1">
      <c r="A24" s="26"/>
      <c r="B24" s="31"/>
      <c r="C24" s="61">
        <f t="shared" si="1"/>
      </c>
      <c r="D24" s="16"/>
      <c r="E24" s="29">
        <f t="shared" si="2"/>
      </c>
      <c r="F24" s="30">
        <f t="shared" si="0"/>
      </c>
      <c r="G24" s="62">
        <f t="shared" si="4"/>
      </c>
      <c r="H24" s="62">
        <f t="shared" si="3"/>
      </c>
      <c r="I24" s="55"/>
      <c r="J24" s="55"/>
      <c r="K24" s="4"/>
      <c r="L24" s="4" t="str">
        <f>IF($F$5="M","","Bonded Concrete Pavement (4.5 inches)")</f>
        <v>Bonded Concrete Pavement (4.5 inches)</v>
      </c>
      <c r="M24" s="5">
        <f>IF($F$5="M",0.46,0.39)</f>
        <v>0.39</v>
      </c>
      <c r="O24" s="50"/>
      <c r="P24" s="5"/>
    </row>
    <row r="25" spans="1:16" ht="22.5" customHeight="1">
      <c r="A25" s="26"/>
      <c r="B25" s="31"/>
      <c r="C25" s="61">
        <f t="shared" si="1"/>
      </c>
      <c r="D25" s="16"/>
      <c r="E25" s="29">
        <f t="shared" si="2"/>
      </c>
      <c r="F25" s="30">
        <f t="shared" si="0"/>
      </c>
      <c r="G25" s="62">
        <f t="shared" si="4"/>
      </c>
      <c r="H25" s="62">
        <f t="shared" si="3"/>
      </c>
      <c r="I25" s="55"/>
      <c r="J25" s="55"/>
      <c r="K25" s="66"/>
      <c r="L25" s="4" t="str">
        <f>IF($F$5="M","Bonded Concrete Pavement (140mm)","Bonded Concrete Pavement (5 inches)")</f>
        <v>Bonded Concrete Pavement (5 inches)</v>
      </c>
      <c r="M25" s="5">
        <f>IF($F$5="M",0.5,0.42)</f>
        <v>0.42</v>
      </c>
      <c r="O25" s="50"/>
      <c r="P25" s="67"/>
    </row>
    <row r="26" spans="1:16" ht="22.5" customHeight="1">
      <c r="A26" s="26"/>
      <c r="B26" s="31"/>
      <c r="C26" s="61">
        <f t="shared" si="1"/>
      </c>
      <c r="D26" s="16"/>
      <c r="E26" s="29">
        <f t="shared" si="2"/>
      </c>
      <c r="F26" s="30">
        <f t="shared" si="0"/>
      </c>
      <c r="G26" s="62">
        <f t="shared" si="4"/>
      </c>
      <c r="H26" s="62">
        <f t="shared" si="3"/>
      </c>
      <c r="I26" s="55"/>
      <c r="J26" s="55"/>
      <c r="K26" s="4"/>
      <c r="L26" s="4" t="str">
        <f>IF($F$5="M","","Bonded Concrete Pavement (5.5 inches)")</f>
        <v>Bonded Concrete Pavement (5.5 inches)</v>
      </c>
      <c r="M26" s="5">
        <f>IF($F$5="M",0.53,0.45)</f>
        <v>0.45</v>
      </c>
      <c r="O26" s="50"/>
      <c r="P26" s="5"/>
    </row>
    <row r="27" spans="1:16" ht="22.5" customHeight="1">
      <c r="A27" s="26"/>
      <c r="B27" s="31"/>
      <c r="C27" s="61">
        <f t="shared" si="1"/>
      </c>
      <c r="D27" s="16"/>
      <c r="E27" s="29">
        <f t="shared" si="2"/>
      </c>
      <c r="F27" s="30">
        <f t="shared" si="0"/>
      </c>
      <c r="G27" s="62">
        <f t="shared" si="4"/>
      </c>
      <c r="H27" s="62">
        <f t="shared" si="3"/>
      </c>
      <c r="I27" s="55"/>
      <c r="J27" s="55"/>
      <c r="K27" s="66"/>
      <c r="L27" s="4" t="str">
        <f>IF($F$5="M","Bonded Concrete Pavement (160mm)","Bonded Concrete Pavement (6 inches)")</f>
        <v>Bonded Concrete Pavement (6 inches)</v>
      </c>
      <c r="M27" s="5">
        <f>IF($F$5="M",0.57,0.48)</f>
        <v>0.48</v>
      </c>
      <c r="O27" s="50"/>
      <c r="P27" s="67"/>
    </row>
    <row r="28" spans="1:16" ht="22.5" customHeight="1">
      <c r="A28" s="26"/>
      <c r="B28" s="31"/>
      <c r="C28" s="61">
        <f t="shared" si="1"/>
      </c>
      <c r="D28" s="16"/>
      <c r="E28" s="29">
        <f t="shared" si="2"/>
      </c>
      <c r="F28" s="30">
        <f t="shared" si="0"/>
      </c>
      <c r="G28" s="62">
        <f t="shared" si="4"/>
      </c>
      <c r="H28" s="62">
        <f t="shared" si="3"/>
      </c>
      <c r="I28" s="55"/>
      <c r="J28" s="55"/>
      <c r="K28" s="4"/>
      <c r="L28" s="4" t="str">
        <f>IF($F$5="M","Concrete Pavement 160 mm","Concrete Pavement 6 inches")</f>
        <v>Concrete Pavement 6 inches</v>
      </c>
      <c r="M28" s="5">
        <f>IF($F$5="M",0.58,0.48)</f>
        <v>0.48</v>
      </c>
      <c r="O28" s="50"/>
      <c r="P28" s="5"/>
    </row>
    <row r="29" spans="1:16" ht="22.5" customHeight="1">
      <c r="A29" s="26"/>
      <c r="B29" s="31"/>
      <c r="C29" s="61">
        <f t="shared" si="1"/>
      </c>
      <c r="D29" s="16"/>
      <c r="E29" s="29">
        <f t="shared" si="2"/>
      </c>
      <c r="F29" s="30">
        <f t="shared" si="0"/>
      </c>
      <c r="G29" s="62">
        <f t="shared" si="4"/>
      </c>
      <c r="H29" s="62">
        <f t="shared" si="3"/>
      </c>
      <c r="I29" s="55"/>
      <c r="J29" s="55"/>
      <c r="K29" s="4"/>
      <c r="L29" s="4" t="str">
        <f>IF($F$5="M","","Concrete Pavement 6.5 inches")</f>
        <v>Concrete Pavement 6.5 inches</v>
      </c>
      <c r="M29" s="5">
        <f>IF($F$5="M",0.61,0.51)</f>
        <v>0.51</v>
      </c>
      <c r="O29" s="50"/>
      <c r="P29" s="5"/>
    </row>
    <row r="30" spans="1:16" ht="22.5" customHeight="1">
      <c r="A30" s="26"/>
      <c r="B30" s="31"/>
      <c r="C30" s="61">
        <f t="shared" si="1"/>
      </c>
      <c r="D30" s="16"/>
      <c r="E30" s="29">
        <f t="shared" si="2"/>
      </c>
      <c r="F30" s="30">
        <f t="shared" si="0"/>
      </c>
      <c r="G30" s="62">
        <f t="shared" si="4"/>
      </c>
      <c r="H30" s="62">
        <f t="shared" si="3"/>
      </c>
      <c r="I30" s="55"/>
      <c r="J30" s="55"/>
      <c r="K30" s="4"/>
      <c r="L30" s="4" t="str">
        <f>IF($F$5="M","Concrete Pavement 180 mm","Concrete Pavement 7 inches")</f>
        <v>Concrete Pavement 7 inches</v>
      </c>
      <c r="M30" s="5">
        <f>IF($F$5="M",0.65,0.54)</f>
        <v>0.54</v>
      </c>
      <c r="O30" s="50"/>
      <c r="P30" s="5"/>
    </row>
    <row r="31" spans="1:16" ht="22.5" customHeight="1">
      <c r="A31" s="26"/>
      <c r="B31" s="31"/>
      <c r="C31" s="61">
        <f t="shared" si="1"/>
      </c>
      <c r="D31" s="16"/>
      <c r="E31" s="29">
        <f t="shared" si="2"/>
      </c>
      <c r="F31" s="30">
        <f t="shared" si="0"/>
      </c>
      <c r="G31" s="62">
        <f t="shared" si="4"/>
      </c>
      <c r="H31" s="62">
        <f t="shared" si="3"/>
      </c>
      <c r="I31" s="55"/>
      <c r="J31" s="55"/>
      <c r="K31" s="4"/>
      <c r="L31" s="4" t="str">
        <f>IF($F$5="M","Concrete Pavement 190 mm","Concrete Pavement 7.5 inches")</f>
        <v>Concrete Pavement 7.5 inches</v>
      </c>
      <c r="M31" s="5">
        <f>IF($F$5="M",0.69,0.57)</f>
        <v>0.57</v>
      </c>
      <c r="O31" s="50"/>
      <c r="P31" s="5"/>
    </row>
    <row r="32" spans="1:16" ht="22.5" customHeight="1">
      <c r="A32" s="26"/>
      <c r="B32" s="31"/>
      <c r="C32" s="61">
        <f t="shared" si="1"/>
      </c>
      <c r="D32" s="16"/>
      <c r="E32" s="29">
        <f t="shared" si="2"/>
      </c>
      <c r="F32" s="30">
        <f t="shared" si="0"/>
      </c>
      <c r="G32" s="62">
        <f t="shared" si="4"/>
      </c>
      <c r="H32" s="62">
        <f t="shared" si="3"/>
      </c>
      <c r="I32" s="55"/>
      <c r="J32" s="55"/>
      <c r="K32" s="4"/>
      <c r="L32" s="4" t="str">
        <f>IF($F$5="M","Concrete Pavement 200 mm","Concrete Pavement 8 inches")</f>
        <v>Concrete Pavement 8 inches</v>
      </c>
      <c r="M32" s="5">
        <f>IF($F$5="M",0.72,0.6)</f>
        <v>0.6</v>
      </c>
      <c r="O32" s="50"/>
      <c r="P32" s="5"/>
    </row>
    <row r="33" spans="1:16" ht="22.5" customHeight="1">
      <c r="A33" s="26"/>
      <c r="B33" s="31"/>
      <c r="C33" s="61">
        <f t="shared" si="1"/>
      </c>
      <c r="D33" s="16"/>
      <c r="E33" s="29">
        <f t="shared" si="2"/>
      </c>
      <c r="F33" s="30">
        <f t="shared" si="0"/>
      </c>
      <c r="G33" s="62">
        <f t="shared" si="4"/>
      </c>
      <c r="H33" s="62">
        <f t="shared" si="3"/>
      </c>
      <c r="I33" s="55"/>
      <c r="J33" s="55"/>
      <c r="K33" s="6"/>
      <c r="L33" s="4" t="str">
        <f>IF($F$5="M","Concrete Pavement 220 mm","Concrete Pavement 8 1/2 inches")</f>
        <v>Concrete Pavement 8 1/2 inches</v>
      </c>
      <c r="M33" s="5">
        <f>IF($F$5="M",0.76,0.63)</f>
        <v>0.63</v>
      </c>
      <c r="N33" s="6"/>
      <c r="O33" s="50"/>
      <c r="P33" s="50"/>
    </row>
    <row r="34" spans="1:16" ht="22.5" customHeight="1">
      <c r="A34" s="26"/>
      <c r="B34" s="31"/>
      <c r="C34" s="61">
        <f t="shared" si="1"/>
      </c>
      <c r="D34" s="16"/>
      <c r="E34" s="29">
        <f t="shared" si="2"/>
      </c>
      <c r="F34" s="30">
        <f t="shared" si="0"/>
      </c>
      <c r="G34" s="62">
        <f t="shared" si="4"/>
      </c>
      <c r="H34" s="62">
        <f t="shared" si="3"/>
      </c>
      <c r="I34" s="55"/>
      <c r="J34" s="55"/>
      <c r="K34" s="7"/>
      <c r="L34" s="4" t="str">
        <f>IF($F$5="M","Concrete Pavement 230 mm","Concrete Pavement 9 inches")</f>
        <v>Concrete Pavement 9 inches</v>
      </c>
      <c r="M34" s="5">
        <f>IF($F$5="M",0.79,0.66)</f>
        <v>0.66</v>
      </c>
      <c r="N34" s="6"/>
      <c r="O34" s="50"/>
      <c r="P34" s="50"/>
    </row>
    <row r="35" spans="1:16" ht="22.5" customHeight="1">
      <c r="A35" s="26"/>
      <c r="B35" s="31"/>
      <c r="C35" s="61">
        <f t="shared" si="1"/>
      </c>
      <c r="D35" s="16"/>
      <c r="E35" s="29">
        <f t="shared" si="2"/>
      </c>
      <c r="F35" s="30">
        <f t="shared" si="0"/>
      </c>
      <c r="G35" s="62">
        <f t="shared" si="4"/>
      </c>
      <c r="H35" s="62">
        <f t="shared" si="3"/>
      </c>
      <c r="I35" s="55"/>
      <c r="J35" s="55"/>
      <c r="K35" s="7"/>
      <c r="L35" s="4" t="str">
        <f>IF($F$5="M","Concrete Pavement 240 mm","Concrete Pavement 9 1/2 inches")</f>
        <v>Concrete Pavement 9 1/2 inches</v>
      </c>
      <c r="M35" s="5">
        <f>IF($F$5="M",0.82,0.69)</f>
        <v>0.69</v>
      </c>
      <c r="N35" s="6"/>
      <c r="O35" s="50"/>
      <c r="P35" s="50"/>
    </row>
    <row r="36" spans="1:16" ht="22.5" customHeight="1">
      <c r="A36" s="26"/>
      <c r="B36" s="31"/>
      <c r="C36" s="61">
        <f t="shared" si="1"/>
      </c>
      <c r="D36" s="16"/>
      <c r="E36" s="29">
        <f t="shared" si="2"/>
      </c>
      <c r="F36" s="30">
        <f t="shared" si="0"/>
      </c>
      <c r="G36" s="62">
        <f t="shared" si="4"/>
      </c>
      <c r="H36" s="62">
        <f t="shared" si="3"/>
      </c>
      <c r="I36" s="55"/>
      <c r="J36" s="55"/>
      <c r="K36" s="7"/>
      <c r="L36" s="4" t="str">
        <f>IF($F$5="M","Concrete Pavement 250 mm","Concrete Pavement 10 inches")</f>
        <v>Concrete Pavement 10 inches</v>
      </c>
      <c r="M36" s="5">
        <f>IF($F$5="M",0.86,0.72)</f>
        <v>0.72</v>
      </c>
      <c r="N36" s="6"/>
      <c r="O36" s="50"/>
      <c r="P36" s="50"/>
    </row>
    <row r="37" spans="1:16" ht="22.5" customHeight="1">
      <c r="A37" s="26"/>
      <c r="B37" s="31"/>
      <c r="C37" s="61">
        <f t="shared" si="1"/>
      </c>
      <c r="D37" s="16"/>
      <c r="E37" s="29">
        <f t="shared" si="2"/>
      </c>
      <c r="F37" s="30">
        <f t="shared" si="0"/>
      </c>
      <c r="G37" s="62">
        <f t="shared" si="4"/>
      </c>
      <c r="H37" s="62">
        <f t="shared" si="3"/>
      </c>
      <c r="I37" s="55"/>
      <c r="J37" s="55"/>
      <c r="K37" s="7"/>
      <c r="L37" s="4">
        <f>IF(F5="M","Concrete Pavement 260 mm","")</f>
      </c>
      <c r="M37" s="5">
        <v>0.86</v>
      </c>
      <c r="N37" s="6"/>
      <c r="O37" s="50"/>
      <c r="P37" s="50"/>
    </row>
    <row r="38" spans="1:16" ht="22.5" customHeight="1">
      <c r="A38" s="26"/>
      <c r="B38" s="31"/>
      <c r="C38" s="61">
        <f t="shared" si="1"/>
      </c>
      <c r="D38" s="16"/>
      <c r="E38" s="29">
        <f t="shared" si="2"/>
      </c>
      <c r="F38" s="30">
        <f t="shared" si="0"/>
      </c>
      <c r="G38" s="62">
        <f t="shared" si="4"/>
      </c>
      <c r="H38" s="62">
        <f t="shared" si="3"/>
      </c>
      <c r="I38" s="55"/>
      <c r="J38" s="55"/>
      <c r="K38" s="7"/>
      <c r="L38" s="4" t="str">
        <f>IF($F$5="M","Concrete Pavement 270 mm","Concrete Pavement 10 1/2 inches")</f>
        <v>Concrete Pavement 10 1/2 inches</v>
      </c>
      <c r="M38" s="5">
        <f>IF($F$5="M",0.89,0.75)</f>
        <v>0.75</v>
      </c>
      <c r="N38" s="6"/>
      <c r="O38" s="50"/>
      <c r="P38" s="50"/>
    </row>
    <row r="39" spans="1:16" ht="22.5" customHeight="1">
      <c r="A39" s="39"/>
      <c r="B39" s="40"/>
      <c r="C39" s="32"/>
      <c r="D39" s="32"/>
      <c r="E39" s="33"/>
      <c r="F39" s="34"/>
      <c r="G39" s="35"/>
      <c r="H39" s="36" t="s">
        <v>66</v>
      </c>
      <c r="I39" s="47"/>
      <c r="J39" s="55"/>
      <c r="K39" s="7"/>
      <c r="L39" s="4" t="str">
        <f>IF($F$5="M","Concrete Pavement 280 mm","Concrete Pavement 11 inches")</f>
        <v>Concrete Pavement 11 inches</v>
      </c>
      <c r="M39" s="5">
        <f>IF($F$5="M",0.93,0.78)</f>
        <v>0.78</v>
      </c>
      <c r="N39" s="6"/>
      <c r="O39" s="50"/>
      <c r="P39" s="50"/>
    </row>
    <row r="40" spans="9:14" ht="12.75">
      <c r="I40" s="41"/>
      <c r="J40" s="41"/>
      <c r="K40" s="7"/>
      <c r="L40" s="4" t="str">
        <f>IF($F$5="M","Concrete Pavement 290 mm","Concrete Pavement 11 1/2 inches")</f>
        <v>Concrete Pavement 11 1/2 inches</v>
      </c>
      <c r="M40" s="5">
        <f>IF($F$5="M",0.96,0.81)</f>
        <v>0.81</v>
      </c>
      <c r="N40" s="6"/>
    </row>
    <row r="41" spans="1:14" ht="12.75">
      <c r="A41" s="42"/>
      <c r="B41" s="43"/>
      <c r="C41" s="44"/>
      <c r="D41" s="44"/>
      <c r="E41" s="45"/>
      <c r="F41" s="46"/>
      <c r="G41" s="47"/>
      <c r="H41" s="47"/>
      <c r="I41" s="47"/>
      <c r="J41" s="47"/>
      <c r="K41" s="7"/>
      <c r="L41" s="4" t="str">
        <f>IF($F$5="M","Concrete Pavement 300 mm","Concrete Pavement 12 inches")</f>
        <v>Concrete Pavement 12 inches</v>
      </c>
      <c r="M41" s="5">
        <f>IF($F$5="M",0.99,0.83)</f>
        <v>0.83</v>
      </c>
      <c r="N41" s="6"/>
    </row>
    <row r="42" spans="1:14" ht="12.75">
      <c r="A42" s="42"/>
      <c r="B42" s="43"/>
      <c r="C42" s="44"/>
      <c r="D42" s="44"/>
      <c r="E42" s="45"/>
      <c r="F42" s="46"/>
      <c r="G42" s="47"/>
      <c r="H42" s="47"/>
      <c r="I42" s="47"/>
      <c r="J42" s="47"/>
      <c r="K42" s="7"/>
      <c r="L42" s="4" t="str">
        <f>IF($F$5="M","Concrete Pavement 320 mm","Concrete Pavement 12 1/2 inches")</f>
        <v>Concrete Pavement 12 1/2 inches</v>
      </c>
      <c r="M42" s="5">
        <f>IF($F$5="M",1.02,0.86)</f>
        <v>0.86</v>
      </c>
      <c r="N42" s="6"/>
    </row>
    <row r="43" spans="1:14" ht="12.75">
      <c r="A43" s="42"/>
      <c r="B43" s="43"/>
      <c r="C43" s="44"/>
      <c r="D43" s="44"/>
      <c r="E43" s="45"/>
      <c r="F43" s="46"/>
      <c r="G43" s="47"/>
      <c r="H43" s="47"/>
      <c r="I43" s="47"/>
      <c r="J43" s="47"/>
      <c r="K43" s="7"/>
      <c r="L43" s="4" t="str">
        <f>IF($F$5="M","Concrete Pavement 330 mm","Concrete Pavement 13 inches")</f>
        <v>Concrete Pavement 13 inches</v>
      </c>
      <c r="M43" s="5">
        <f>IF($F$5="M",1.06,0.89)</f>
        <v>0.89</v>
      </c>
      <c r="N43" s="6"/>
    </row>
    <row r="44" spans="1:14" ht="12.75">
      <c r="A44" s="42"/>
      <c r="B44" s="43"/>
      <c r="C44" s="44"/>
      <c r="D44" s="44"/>
      <c r="E44" s="45"/>
      <c r="F44" s="46"/>
      <c r="G44" s="47"/>
      <c r="H44" s="47"/>
      <c r="I44" s="47"/>
      <c r="J44" s="47"/>
      <c r="K44" s="7"/>
      <c r="L44" s="4" t="str">
        <f>IF($F$5="M","Concrete Pavement 340 mm","Concrete Pavement 13 1/2 inches")</f>
        <v>Concrete Pavement 13 1/2 inches</v>
      </c>
      <c r="M44" s="5">
        <f>IF($F$5="M",1.1,0.92)</f>
        <v>0.92</v>
      </c>
      <c r="N44" s="6"/>
    </row>
    <row r="45" spans="1:14" ht="12.75">
      <c r="A45" s="42"/>
      <c r="B45" s="43"/>
      <c r="C45" s="44"/>
      <c r="D45" s="44"/>
      <c r="E45" s="45"/>
      <c r="F45" s="46"/>
      <c r="G45" s="47"/>
      <c r="H45" s="47"/>
      <c r="I45" s="47"/>
      <c r="J45" s="47"/>
      <c r="K45" s="7"/>
      <c r="L45" s="4" t="str">
        <f>IF($F$5="M","Concrete Pavement 360 mm","Concrete Pavement 14 inches")</f>
        <v>Concrete Pavement 14 inches</v>
      </c>
      <c r="M45" s="5">
        <f>IF($F$5="M",1.14,0.95)</f>
        <v>0.95</v>
      </c>
      <c r="N45" s="6"/>
    </row>
    <row r="46" spans="1:14" ht="12.75">
      <c r="A46" s="48"/>
      <c r="B46" s="48"/>
      <c r="C46" s="48"/>
      <c r="D46" s="48"/>
      <c r="E46" s="49"/>
      <c r="F46" s="48"/>
      <c r="G46" s="48"/>
      <c r="H46" s="48"/>
      <c r="I46" s="48"/>
      <c r="J46" s="48"/>
      <c r="K46" s="7"/>
      <c r="L46" s="4" t="str">
        <f>IF($F$5="M","Concrete Pavement 370 mm","Concrete Pavement 14 1/2 inches")</f>
        <v>Concrete Pavement 14 1/2 inches</v>
      </c>
      <c r="M46" s="5">
        <f>IF($F$5="M",1.17,0.98)</f>
        <v>0.98</v>
      </c>
      <c r="N46" s="6"/>
    </row>
    <row r="47" spans="1:14" ht="12.75">
      <c r="A47" s="50"/>
      <c r="B47" s="50"/>
      <c r="C47" s="50"/>
      <c r="D47" s="50"/>
      <c r="E47" s="51"/>
      <c r="F47" s="50"/>
      <c r="G47" s="50"/>
      <c r="H47" s="50"/>
      <c r="I47" s="50"/>
      <c r="J47" s="50"/>
      <c r="K47" s="7"/>
      <c r="L47" s="4" t="s">
        <v>60</v>
      </c>
      <c r="M47" s="5">
        <f>IF($F$5="M",334.65,10.2)</f>
        <v>10.2</v>
      </c>
      <c r="N47" s="6"/>
    </row>
    <row r="48" spans="1:14" ht="12.75">
      <c r="A48" s="50"/>
      <c r="B48" s="50"/>
      <c r="C48" s="50"/>
      <c r="D48" s="50"/>
      <c r="E48" s="51"/>
      <c r="F48" s="50"/>
      <c r="G48" s="50"/>
      <c r="H48" s="50"/>
      <c r="I48" s="50"/>
      <c r="J48" s="50"/>
      <c r="K48" s="7"/>
      <c r="L48" s="4" t="s">
        <v>59</v>
      </c>
      <c r="M48" s="5">
        <f>IF($F$5="M",2.65,2.4)</f>
        <v>2.4</v>
      </c>
      <c r="N48" s="6"/>
    </row>
    <row r="49" spans="1:14" ht="12.75">
      <c r="A49" s="50"/>
      <c r="B49" s="50"/>
      <c r="C49" s="50"/>
      <c r="D49" s="50"/>
      <c r="E49" s="51"/>
      <c r="F49" s="50"/>
      <c r="G49" s="50"/>
      <c r="H49" s="50"/>
      <c r="I49" s="50"/>
      <c r="J49" s="50"/>
      <c r="K49" s="7"/>
      <c r="L49" s="4" t="s">
        <v>64</v>
      </c>
      <c r="M49" s="5">
        <f>IF($F$5="M",2.65,2.4)</f>
        <v>2.4</v>
      </c>
      <c r="N49" s="6"/>
    </row>
    <row r="50" spans="1:14" ht="12.75">
      <c r="A50" s="50"/>
      <c r="B50" s="50"/>
      <c r="C50" s="50"/>
      <c r="D50" s="50"/>
      <c r="E50" s="51"/>
      <c r="F50" s="50"/>
      <c r="G50" s="50"/>
      <c r="H50" s="50"/>
      <c r="I50" s="50"/>
      <c r="J50" s="50"/>
      <c r="K50" s="7"/>
      <c r="L50" s="4" t="s">
        <v>65</v>
      </c>
      <c r="M50" s="5">
        <f>IF($F$5="M",2.65,2.4)</f>
        <v>2.4</v>
      </c>
      <c r="N50" s="6"/>
    </row>
    <row r="51" spans="11:13" ht="12.75">
      <c r="K51" s="7"/>
      <c r="L51" s="4"/>
      <c r="M51" s="5"/>
    </row>
    <row r="52" spans="11:13" ht="12.75">
      <c r="K52" s="7"/>
      <c r="L52" s="6"/>
      <c r="M52" s="6"/>
    </row>
    <row r="53" spans="11:13" ht="12.75">
      <c r="K53" s="7"/>
      <c r="L53" s="37"/>
      <c r="M53" s="37"/>
    </row>
    <row r="54" spans="11:13" ht="12.75">
      <c r="K54" s="7"/>
      <c r="L54" s="37"/>
      <c r="M54" s="37"/>
    </row>
    <row r="55" spans="12:13" ht="12.75">
      <c r="L55" s="37"/>
      <c r="M55" s="37"/>
    </row>
    <row r="56" spans="12:13" ht="12.75">
      <c r="L56" s="37"/>
      <c r="M56" s="37"/>
    </row>
    <row r="57" spans="12:13" ht="12.75">
      <c r="L57" s="37"/>
      <c r="M57" s="37"/>
    </row>
    <row r="58" spans="12:13" ht="12.75">
      <c r="L58" s="37"/>
      <c r="M58" s="37"/>
    </row>
    <row r="59" spans="12:13" ht="12.75">
      <c r="L59" s="37"/>
      <c r="M59" s="37"/>
    </row>
    <row r="60" spans="12:13" ht="12.75">
      <c r="L60" s="37"/>
      <c r="M60" s="37"/>
    </row>
    <row r="61" spans="12:13" ht="12.75">
      <c r="L61" s="37"/>
      <c r="M61" s="37"/>
    </row>
    <row r="62" spans="12:13" ht="12.75">
      <c r="L62" s="37"/>
      <c r="M62" s="37"/>
    </row>
    <row r="63" spans="12:13" ht="12.75">
      <c r="L63" s="37"/>
      <c r="M63" s="37"/>
    </row>
    <row r="64" spans="12:13" ht="12.75">
      <c r="L64" s="37"/>
      <c r="M64" s="37"/>
    </row>
    <row r="65" spans="12:13" ht="12.75">
      <c r="L65" s="37"/>
      <c r="M65" s="37"/>
    </row>
    <row r="66" spans="12:13" ht="12.75">
      <c r="L66" s="37"/>
      <c r="M66" s="37"/>
    </row>
    <row r="67" spans="12:13" ht="12.75">
      <c r="L67" s="37"/>
      <c r="M67" s="37"/>
    </row>
    <row r="68" spans="12:13" ht="12.75">
      <c r="L68" s="37"/>
      <c r="M68" s="37"/>
    </row>
    <row r="69" spans="12:13" ht="12.75">
      <c r="L69" s="37"/>
      <c r="M69" s="37"/>
    </row>
    <row r="70" ht="12.75">
      <c r="L70" s="37"/>
    </row>
    <row r="71" ht="12.75">
      <c r="L71" s="37"/>
    </row>
    <row r="72" ht="12.75">
      <c r="L72" s="37"/>
    </row>
  </sheetData>
  <sheetProtection password="BF11" sheet="1" objects="1" scenarios="1" selectLockedCells="1"/>
  <mergeCells count="4">
    <mergeCell ref="F3:H3"/>
    <mergeCell ref="F4:H4"/>
    <mergeCell ref="D5:E5"/>
    <mergeCell ref="B6:E6"/>
  </mergeCells>
  <dataValidations count="1">
    <dataValidation type="list" allowBlank="1" showInputMessage="1" showErrorMessage="1" promptTitle="Data Entry Restriction!" prompt="Please select one item from this drop down box. No other values will be accepted." errorTitle="Wrong data!" error="Please enter a value from the drop down list." sqref="B6:E6">
      <formula1>$L$7:$L$50</formula1>
    </dataValidation>
  </dataValidations>
  <printOptions/>
  <pageMargins left="1.06" right="0.5" top="0.5" bottom="0" header="0.5" footer="0"/>
  <pageSetup blackAndWhite="1" fitToHeight="1" fitToWidth="1" horizontalDpi="600" verticalDpi="600" orientation="portrait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"/>
  <sheetViews>
    <sheetView showGridLines="0" showRowColHeaders="0" zoomScalePageLayoutView="0" workbookViewId="0" topLeftCell="A1">
      <selection activeCell="B6" sqref="B6:E6"/>
    </sheetView>
  </sheetViews>
  <sheetFormatPr defaultColWidth="9.140625" defaultRowHeight="12.75"/>
  <cols>
    <col min="1" max="1" width="13.00390625" style="0" customWidth="1"/>
    <col min="2" max="2" width="13.28125" style="0" customWidth="1"/>
    <col min="3" max="3" width="9.00390625" style="0" customWidth="1"/>
    <col min="4" max="4" width="9.28125" style="0" customWidth="1"/>
    <col min="5" max="5" width="11.00390625" style="1" customWidth="1"/>
    <col min="6" max="6" width="10.57421875" style="0" customWidth="1"/>
    <col min="7" max="8" width="16.00390625" style="0" bestFit="1" customWidth="1"/>
    <col min="11" max="11" width="3.57421875" style="0" customWidth="1"/>
    <col min="12" max="12" width="47.00390625" style="0" hidden="1" customWidth="1"/>
    <col min="13" max="13" width="8.28125" style="0" hidden="1" customWidth="1"/>
    <col min="14" max="14" width="7.140625" style="0" customWidth="1"/>
    <col min="15" max="16" width="9.140625" style="0" customWidth="1"/>
  </cols>
  <sheetData>
    <row r="1" spans="1:16" ht="15">
      <c r="A1" s="8"/>
      <c r="B1" s="8"/>
      <c r="C1" s="9" t="s">
        <v>67</v>
      </c>
      <c r="D1" s="8"/>
      <c r="E1" s="10"/>
      <c r="F1" s="8"/>
      <c r="G1" s="8"/>
      <c r="H1" s="8"/>
      <c r="I1" s="52"/>
      <c r="J1" s="52"/>
      <c r="K1" s="50"/>
      <c r="L1" s="50"/>
      <c r="M1" s="50"/>
      <c r="N1" s="50"/>
      <c r="O1" s="50"/>
      <c r="P1" s="50"/>
    </row>
    <row r="2" spans="1:16" ht="17.25" customHeight="1">
      <c r="A2" s="8"/>
      <c r="B2" s="8"/>
      <c r="C2" s="8"/>
      <c r="D2" s="8"/>
      <c r="E2" s="10"/>
      <c r="F2" s="8"/>
      <c r="G2" s="8"/>
      <c r="H2" s="8"/>
      <c r="I2" s="52"/>
      <c r="J2" s="52"/>
      <c r="K2" s="50"/>
      <c r="L2" s="50"/>
      <c r="M2" s="50"/>
      <c r="N2" s="50"/>
      <c r="O2" s="50"/>
      <c r="P2" s="50"/>
    </row>
    <row r="3" spans="1:16" ht="21" customHeight="1">
      <c r="A3" s="11"/>
      <c r="B3" s="12"/>
      <c r="C3" s="11"/>
      <c r="D3" s="11"/>
      <c r="E3" s="63" t="s">
        <v>42</v>
      </c>
      <c r="F3" s="97">
        <f>IF('Item 1'!F3:H3="","",'Item 1'!F3:H3)</f>
      </c>
      <c r="G3" s="97"/>
      <c r="H3" s="97"/>
      <c r="I3" s="53"/>
      <c r="J3" s="53"/>
      <c r="K3" s="50"/>
      <c r="L3" s="50"/>
      <c r="M3" s="50"/>
      <c r="N3" s="50"/>
      <c r="O3" s="50"/>
      <c r="P3" s="50"/>
    </row>
    <row r="4" spans="1:16" ht="21" customHeight="1">
      <c r="A4" s="13" t="s">
        <v>43</v>
      </c>
      <c r="B4" s="82">
        <f>IF('Item 1'!B4="","",'Item 1'!B4)</f>
      </c>
      <c r="C4" s="38"/>
      <c r="D4" s="11"/>
      <c r="E4" s="64" t="s">
        <v>41</v>
      </c>
      <c r="F4" s="98">
        <f>IF('Item 1'!F4:H4="","",'Item 1'!F4:H4)</f>
      </c>
      <c r="G4" s="99"/>
      <c r="H4" s="100"/>
      <c r="I4" s="53"/>
      <c r="J4" s="53"/>
      <c r="K4" s="50"/>
      <c r="L4" s="57"/>
      <c r="M4" s="50"/>
      <c r="N4" s="50"/>
      <c r="O4" s="50"/>
      <c r="P4" s="50"/>
    </row>
    <row r="5" spans="1:16" ht="21" customHeight="1">
      <c r="A5" s="79" t="s">
        <v>44</v>
      </c>
      <c r="B5" s="15"/>
      <c r="C5" s="81">
        <f>IF('Item 1'!C5="","",'Item 1'!C5)</f>
      </c>
      <c r="D5" s="95" t="s">
        <v>46</v>
      </c>
      <c r="E5" s="96"/>
      <c r="F5" s="80">
        <f>IF('Item 1'!F5="","",'Item 1'!F5)</f>
      </c>
      <c r="G5" s="65" t="s">
        <v>45</v>
      </c>
      <c r="H5" s="60">
        <f>IF(B6="","",VLOOKUP(B6,L7:M50,2,FALSE))</f>
      </c>
      <c r="I5" s="53"/>
      <c r="J5" s="53"/>
      <c r="K5" s="4"/>
      <c r="L5" s="56"/>
      <c r="N5" s="4"/>
      <c r="O5" s="50"/>
      <c r="P5" s="50"/>
    </row>
    <row r="6" spans="1:16" ht="21" customHeight="1">
      <c r="A6" s="79" t="s">
        <v>20</v>
      </c>
      <c r="B6" s="88"/>
      <c r="C6" s="89"/>
      <c r="D6" s="89"/>
      <c r="E6" s="90"/>
      <c r="F6" s="58"/>
      <c r="H6" s="59"/>
      <c r="I6" s="53"/>
      <c r="J6" s="53"/>
      <c r="K6" s="4"/>
      <c r="L6" s="4" t="s">
        <v>21</v>
      </c>
      <c r="M6" s="4" t="s">
        <v>37</v>
      </c>
      <c r="O6" s="50"/>
      <c r="P6" s="4"/>
    </row>
    <row r="7" spans="1:16" ht="12.75">
      <c r="A7" s="11"/>
      <c r="B7" s="11"/>
      <c r="C7" s="17"/>
      <c r="D7" s="11"/>
      <c r="E7" s="7"/>
      <c r="F7" s="11"/>
      <c r="G7" s="11"/>
      <c r="H7" s="11"/>
      <c r="I7" s="53"/>
      <c r="J7" s="53"/>
      <c r="K7" s="4"/>
      <c r="L7" s="4" t="s">
        <v>22</v>
      </c>
      <c r="M7" s="5">
        <f>IF($F$5="M",0.33,0.25)</f>
        <v>0.25</v>
      </c>
      <c r="O7" s="50"/>
      <c r="P7" s="5"/>
    </row>
    <row r="8" spans="1:16" ht="12.75">
      <c r="A8" s="18" t="s">
        <v>0</v>
      </c>
      <c r="B8" s="18" t="s">
        <v>18</v>
      </c>
      <c r="C8" s="19" t="s">
        <v>2</v>
      </c>
      <c r="D8" s="18" t="s">
        <v>5</v>
      </c>
      <c r="E8" s="20" t="s">
        <v>8</v>
      </c>
      <c r="F8" s="18" t="s">
        <v>10</v>
      </c>
      <c r="G8" s="18" t="s">
        <v>13</v>
      </c>
      <c r="H8" s="18" t="s">
        <v>8</v>
      </c>
      <c r="I8" s="54"/>
      <c r="J8" s="54"/>
      <c r="K8" s="4"/>
      <c r="L8" s="4" t="s">
        <v>61</v>
      </c>
      <c r="M8" s="5">
        <f>IF($F$5="M",0.33,0.25)</f>
        <v>0.25</v>
      </c>
      <c r="O8" s="50"/>
      <c r="P8" s="5"/>
    </row>
    <row r="9" spans="1:16" ht="12.75">
      <c r="A9" s="21"/>
      <c r="B9" s="22" t="s">
        <v>16</v>
      </c>
      <c r="C9" s="22" t="s">
        <v>3</v>
      </c>
      <c r="D9" s="22" t="s">
        <v>6</v>
      </c>
      <c r="E9" s="23"/>
      <c r="F9" s="22" t="s">
        <v>11</v>
      </c>
      <c r="G9" s="22" t="s">
        <v>14</v>
      </c>
      <c r="H9" s="22" t="s">
        <v>9</v>
      </c>
      <c r="I9" s="54"/>
      <c r="J9" s="54"/>
      <c r="K9" s="4"/>
      <c r="L9" s="4" t="s">
        <v>19</v>
      </c>
      <c r="M9" s="5">
        <f>IF($F$5="M",0.43,0.33)</f>
        <v>0.33</v>
      </c>
      <c r="O9" s="50"/>
      <c r="P9" s="5"/>
    </row>
    <row r="10" spans="1:16" ht="12.75">
      <c r="A10" s="24" t="s">
        <v>1</v>
      </c>
      <c r="B10" s="24" t="s">
        <v>17</v>
      </c>
      <c r="C10" s="24" t="s">
        <v>4</v>
      </c>
      <c r="D10" s="24" t="s">
        <v>7</v>
      </c>
      <c r="E10" s="25" t="s">
        <v>9</v>
      </c>
      <c r="F10" s="24" t="s">
        <v>12</v>
      </c>
      <c r="G10" s="24" t="s">
        <v>15</v>
      </c>
      <c r="H10" s="24" t="s">
        <v>15</v>
      </c>
      <c r="I10" s="54"/>
      <c r="J10" s="54"/>
      <c r="K10" s="4"/>
      <c r="L10" s="4" t="s">
        <v>62</v>
      </c>
      <c r="M10" s="5">
        <f>IF($F$5="M",0.43,0.33)</f>
        <v>0.33</v>
      </c>
      <c r="O10" s="50"/>
      <c r="P10" s="5"/>
    </row>
    <row r="11" spans="1:16" ht="22.5" customHeight="1">
      <c r="A11" s="26"/>
      <c r="B11" s="27"/>
      <c r="C11" s="61">
        <f>IF(H5="","",ABS($H$5))</f>
      </c>
      <c r="D11" s="28"/>
      <c r="E11" s="29">
        <f>IF(D11="","",+D11)</f>
      </c>
      <c r="F11" s="30">
        <f>+IF(B11="","",(B11-$C$5))</f>
      </c>
      <c r="G11" s="62">
        <f>IF(C11="","",IF(F11="","",+C11*D11*F11))</f>
      </c>
      <c r="H11" s="62">
        <f>+G11</f>
      </c>
      <c r="I11" s="54"/>
      <c r="J11" s="54"/>
      <c r="K11" s="4"/>
      <c r="L11" s="4" t="s">
        <v>24</v>
      </c>
      <c r="M11" s="5">
        <f>IF($F$5="M",0.38,0.29)</f>
        <v>0.29</v>
      </c>
      <c r="O11" s="50"/>
      <c r="P11" s="5"/>
    </row>
    <row r="12" spans="1:16" ht="22.5" customHeight="1">
      <c r="A12" s="26"/>
      <c r="B12" s="31"/>
      <c r="C12" s="61">
        <f>IF(B12="","",ABS($H$5))</f>
      </c>
      <c r="D12" s="16"/>
      <c r="E12" s="29">
        <f>IF(D12="","",+D12+E11)</f>
      </c>
      <c r="F12" s="30">
        <f aca="true" t="shared" si="0" ref="F12:F38">+IF(B12="","",(B12-$C$5))</f>
      </c>
      <c r="G12" s="62">
        <f>IF(C12="","",IF(F12="","",+C12*D12*F12))</f>
      </c>
      <c r="H12" s="62">
        <f>IF(G12="","",+H11+G12)</f>
      </c>
      <c r="I12" s="55"/>
      <c r="J12" s="55"/>
      <c r="K12" s="4"/>
      <c r="L12" s="4" t="s">
        <v>25</v>
      </c>
      <c r="M12" s="5">
        <f>IF($F$5="M",0.39,0.3)</f>
        <v>0.3</v>
      </c>
      <c r="O12" s="50"/>
      <c r="P12" s="5"/>
    </row>
    <row r="13" spans="1:16" ht="22.5" customHeight="1">
      <c r="A13" s="26"/>
      <c r="B13" s="31"/>
      <c r="C13" s="61">
        <f aca="true" t="shared" si="1" ref="C13:C38">IF(B13="","",ABS($H$5))</f>
      </c>
      <c r="D13" s="16"/>
      <c r="E13" s="29">
        <f aca="true" t="shared" si="2" ref="E13:E38">IF(D13="","",+D13+E12)</f>
      </c>
      <c r="F13" s="30">
        <f t="shared" si="0"/>
      </c>
      <c r="G13" s="62">
        <f>IF(C13="","",IF(F13="","",+C13*D13*F13))</f>
      </c>
      <c r="H13" s="62">
        <f aca="true" t="shared" si="3" ref="H13:H38">IF(G13="","",+H12+G13)</f>
      </c>
      <c r="I13" s="55"/>
      <c r="J13" s="55"/>
      <c r="K13" s="4"/>
      <c r="L13" s="4" t="s">
        <v>63</v>
      </c>
      <c r="M13" s="5">
        <f>IF($F$5="M",0.36,0.3)</f>
        <v>0.3</v>
      </c>
      <c r="O13" s="50"/>
      <c r="P13" s="5"/>
    </row>
    <row r="14" spans="1:16" ht="22.5" customHeight="1">
      <c r="A14" s="26"/>
      <c r="B14" s="31"/>
      <c r="C14" s="61">
        <f t="shared" si="1"/>
      </c>
      <c r="D14" s="16"/>
      <c r="E14" s="29">
        <f t="shared" si="2"/>
      </c>
      <c r="F14" s="30">
        <f t="shared" si="0"/>
      </c>
      <c r="G14" s="62">
        <f>IF(C14="","",IF(F14="","",+C14*D14*F14))</f>
      </c>
      <c r="H14" s="62">
        <f t="shared" si="3"/>
      </c>
      <c r="I14" s="55"/>
      <c r="J14" s="55"/>
      <c r="K14" s="66"/>
      <c r="L14" s="4" t="str">
        <f>IF($F$5="M","Concrete Placement:  75mm","Concrete Placement:  3 inches")</f>
        <v>Concrete Placement:  3 inches</v>
      </c>
      <c r="M14" s="5">
        <f>IF($F$5="M",0.36,0.3)</f>
        <v>0.3</v>
      </c>
      <c r="O14" s="50"/>
      <c r="P14" s="67"/>
    </row>
    <row r="15" spans="1:16" ht="22.5" customHeight="1">
      <c r="A15" s="26"/>
      <c r="B15" s="31"/>
      <c r="C15" s="61">
        <f t="shared" si="1"/>
      </c>
      <c r="D15" s="16"/>
      <c r="E15" s="29">
        <f t="shared" si="2"/>
      </c>
      <c r="F15" s="30">
        <f t="shared" si="0"/>
      </c>
      <c r="G15" s="62">
        <f>IF(C15="","",IF(F15="","",+C15*D15*F15))</f>
      </c>
      <c r="H15" s="62">
        <f t="shared" si="3"/>
      </c>
      <c r="I15" s="55"/>
      <c r="J15" s="55"/>
      <c r="K15" s="66"/>
      <c r="L15" s="4" t="str">
        <f>IF($F$5="M","","Concrete Placement:  3.5 inches")</f>
        <v>Concrete Placement:  3.5 inches</v>
      </c>
      <c r="M15" s="5">
        <f>IF($F$5="M",0.39,0.33)</f>
        <v>0.33</v>
      </c>
      <c r="O15" s="50"/>
      <c r="P15" s="67"/>
    </row>
    <row r="16" spans="1:16" ht="22.5" customHeight="1">
      <c r="A16" s="26"/>
      <c r="B16" s="31"/>
      <c r="C16" s="61">
        <f t="shared" si="1"/>
      </c>
      <c r="D16" s="16"/>
      <c r="E16" s="29">
        <f t="shared" si="2"/>
      </c>
      <c r="F16" s="30">
        <f t="shared" si="0"/>
      </c>
      <c r="G16" s="62">
        <f aca="true" t="shared" si="4" ref="G16:G38">IF(F16="","",+C16*D16*F16)</f>
      </c>
      <c r="H16" s="62">
        <f t="shared" si="3"/>
      </c>
      <c r="I16" s="55"/>
      <c r="J16" s="55"/>
      <c r="K16" s="4"/>
      <c r="L16" s="4" t="str">
        <f>IF($F$5="M","Concrete Placement:  100mm","Concrete Placement:  4 inches")</f>
        <v>Concrete Placement:  4 inches</v>
      </c>
      <c r="M16" s="5">
        <f>IF($F$5="M",0.43,0.36)</f>
        <v>0.36</v>
      </c>
      <c r="O16" s="50"/>
      <c r="P16" s="5"/>
    </row>
    <row r="17" spans="1:16" ht="22.5" customHeight="1">
      <c r="A17" s="26"/>
      <c r="B17" s="31"/>
      <c r="C17" s="61">
        <f t="shared" si="1"/>
      </c>
      <c r="D17" s="16"/>
      <c r="E17" s="29">
        <f t="shared" si="2"/>
      </c>
      <c r="F17" s="30">
        <f t="shared" si="0"/>
      </c>
      <c r="G17" s="62">
        <f t="shared" si="4"/>
      </c>
      <c r="H17" s="62">
        <f t="shared" si="3"/>
      </c>
      <c r="I17" s="55"/>
      <c r="J17" s="55"/>
      <c r="K17" s="66"/>
      <c r="L17" s="4" t="str">
        <f>IF($F$5="M","","Concrete Placement:  4.5 inches")</f>
        <v>Concrete Placement:  4.5 inches</v>
      </c>
      <c r="M17" s="5">
        <f>IF($F$5="M",0.46,0.39)</f>
        <v>0.39</v>
      </c>
      <c r="O17" s="50"/>
      <c r="P17" s="67"/>
    </row>
    <row r="18" spans="1:16" ht="22.5" customHeight="1">
      <c r="A18" s="26"/>
      <c r="B18" s="31"/>
      <c r="C18" s="61">
        <f t="shared" si="1"/>
      </c>
      <c r="D18" s="16"/>
      <c r="E18" s="29">
        <f t="shared" si="2"/>
      </c>
      <c r="F18" s="30">
        <f t="shared" si="0"/>
      </c>
      <c r="G18" s="62">
        <f t="shared" si="4"/>
      </c>
      <c r="H18" s="62">
        <f t="shared" si="3"/>
      </c>
      <c r="I18" s="55"/>
      <c r="J18" s="55"/>
      <c r="K18" s="4"/>
      <c r="L18" s="4" t="str">
        <f>IF($F$5="M","Concrete Placement:  140mm","Concrete Placement:  5 inches")</f>
        <v>Concrete Placement:  5 inches</v>
      </c>
      <c r="M18" s="5">
        <f>IF($F$5="M",0.5,0.42)</f>
        <v>0.42</v>
      </c>
      <c r="O18" s="50"/>
      <c r="P18" s="5"/>
    </row>
    <row r="19" spans="1:16" ht="22.5" customHeight="1">
      <c r="A19" s="26"/>
      <c r="B19" s="31"/>
      <c r="C19" s="61">
        <f t="shared" si="1"/>
      </c>
      <c r="D19" s="16"/>
      <c r="E19" s="29">
        <f t="shared" si="2"/>
      </c>
      <c r="F19" s="30">
        <f t="shared" si="0"/>
      </c>
      <c r="G19" s="62">
        <f t="shared" si="4"/>
      </c>
      <c r="H19" s="62">
        <f t="shared" si="3"/>
      </c>
      <c r="I19" s="55"/>
      <c r="J19" s="55"/>
      <c r="K19" s="66"/>
      <c r="L19" s="4" t="str">
        <f>IF($F$5="M","","Concrete Placement:  5.5 inches")</f>
        <v>Concrete Placement:  5.5 inches</v>
      </c>
      <c r="M19" s="5">
        <f>IF($F$5="M",0.53,0.45)</f>
        <v>0.45</v>
      </c>
      <c r="O19" s="50"/>
      <c r="P19" s="67"/>
    </row>
    <row r="20" spans="1:16" ht="21" customHeight="1">
      <c r="A20" s="26"/>
      <c r="B20" s="31"/>
      <c r="C20" s="61">
        <f t="shared" si="1"/>
      </c>
      <c r="D20" s="16"/>
      <c r="E20" s="29">
        <f t="shared" si="2"/>
      </c>
      <c r="F20" s="30">
        <f t="shared" si="0"/>
      </c>
      <c r="G20" s="62">
        <f t="shared" si="4"/>
      </c>
      <c r="H20" s="62">
        <f t="shared" si="3"/>
      </c>
      <c r="I20" s="55"/>
      <c r="J20" s="55"/>
      <c r="K20" s="4"/>
      <c r="L20" s="4" t="str">
        <f>IF($F$5="M","Concrete Placement:  160mm","Concrete Placement:  6 inches")</f>
        <v>Concrete Placement:  6 inches</v>
      </c>
      <c r="M20" s="5">
        <f>IF($F$5="M",0.57,0.48)</f>
        <v>0.48</v>
      </c>
      <c r="O20" s="50"/>
      <c r="P20" s="5"/>
    </row>
    <row r="21" spans="1:16" ht="21" customHeight="1">
      <c r="A21" s="26"/>
      <c r="B21" s="31"/>
      <c r="C21" s="61">
        <f t="shared" si="1"/>
      </c>
      <c r="D21" s="16"/>
      <c r="E21" s="29">
        <f t="shared" si="2"/>
      </c>
      <c r="F21" s="30">
        <f t="shared" si="0"/>
      </c>
      <c r="G21" s="62">
        <f t="shared" si="4"/>
      </c>
      <c r="H21" s="62">
        <f t="shared" si="3"/>
      </c>
      <c r="I21" s="55"/>
      <c r="J21" s="55"/>
      <c r="K21" s="66"/>
      <c r="L21" s="4" t="str">
        <f>IF($F$5="M","Bonded Concrete Pavement (75mm)","Bonded Concrete Pavement (3 inches)")</f>
        <v>Bonded Concrete Pavement (3 inches)</v>
      </c>
      <c r="M21" s="5">
        <f>IF($F$5="M",0.36,0.3)</f>
        <v>0.3</v>
      </c>
      <c r="O21" s="50"/>
      <c r="P21" s="67"/>
    </row>
    <row r="22" spans="1:16" ht="21" customHeight="1">
      <c r="A22" s="26"/>
      <c r="B22" s="31"/>
      <c r="C22" s="61">
        <f t="shared" si="1"/>
      </c>
      <c r="D22" s="16"/>
      <c r="E22" s="29">
        <f t="shared" si="2"/>
      </c>
      <c r="F22" s="30">
        <f t="shared" si="0"/>
      </c>
      <c r="G22" s="62">
        <f t="shared" si="4"/>
      </c>
      <c r="H22" s="62">
        <f t="shared" si="3"/>
      </c>
      <c r="I22" s="55"/>
      <c r="J22" s="55"/>
      <c r="K22" s="4"/>
      <c r="L22" s="4" t="str">
        <f>IF($F$5="M","","Bonded Concrete Pavement (3.5 inches)")</f>
        <v>Bonded Concrete Pavement (3.5 inches)</v>
      </c>
      <c r="M22" s="5">
        <f>IF($F$5="M",0.39,0.33)</f>
        <v>0.33</v>
      </c>
      <c r="O22" s="50"/>
      <c r="P22" s="5"/>
    </row>
    <row r="23" spans="1:16" ht="22.5" customHeight="1">
      <c r="A23" s="26"/>
      <c r="B23" s="31"/>
      <c r="C23" s="61">
        <f t="shared" si="1"/>
      </c>
      <c r="D23" s="16"/>
      <c r="E23" s="29">
        <f t="shared" si="2"/>
      </c>
      <c r="F23" s="30">
        <f t="shared" si="0"/>
      </c>
      <c r="G23" s="62">
        <f t="shared" si="4"/>
      </c>
      <c r="H23" s="62">
        <f t="shared" si="3"/>
      </c>
      <c r="I23" s="55"/>
      <c r="J23" s="55"/>
      <c r="K23" s="66"/>
      <c r="L23" s="4" t="str">
        <f>IF($F$5="M","Bonded Concrete Pavement (100mm)","Bonded Concrete Pavement (4 inches)")</f>
        <v>Bonded Concrete Pavement (4 inches)</v>
      </c>
      <c r="M23" s="5">
        <f>IF($F$5="M",0.43,0.36)</f>
        <v>0.36</v>
      </c>
      <c r="O23" s="50"/>
      <c r="P23" s="67"/>
    </row>
    <row r="24" spans="1:16" ht="22.5" customHeight="1">
      <c r="A24" s="26"/>
      <c r="B24" s="31"/>
      <c r="C24" s="61">
        <f t="shared" si="1"/>
      </c>
      <c r="D24" s="16"/>
      <c r="E24" s="29">
        <f t="shared" si="2"/>
      </c>
      <c r="F24" s="30">
        <f t="shared" si="0"/>
      </c>
      <c r="G24" s="62">
        <f t="shared" si="4"/>
      </c>
      <c r="H24" s="62">
        <f t="shared" si="3"/>
      </c>
      <c r="I24" s="55"/>
      <c r="J24" s="55"/>
      <c r="K24" s="4"/>
      <c r="L24" s="4" t="str">
        <f>IF($F$5="M","","Bonded Concrete Pavement (4.5 inches)")</f>
        <v>Bonded Concrete Pavement (4.5 inches)</v>
      </c>
      <c r="M24" s="5">
        <f>IF($F$5="M",0.46,0.39)</f>
        <v>0.39</v>
      </c>
      <c r="O24" s="50"/>
      <c r="P24" s="5"/>
    </row>
    <row r="25" spans="1:16" ht="22.5" customHeight="1">
      <c r="A25" s="26"/>
      <c r="B25" s="31"/>
      <c r="C25" s="61">
        <f t="shared" si="1"/>
      </c>
      <c r="D25" s="16"/>
      <c r="E25" s="29">
        <f t="shared" si="2"/>
      </c>
      <c r="F25" s="30">
        <f t="shared" si="0"/>
      </c>
      <c r="G25" s="62">
        <f t="shared" si="4"/>
      </c>
      <c r="H25" s="62">
        <f t="shared" si="3"/>
      </c>
      <c r="I25" s="55"/>
      <c r="J25" s="55"/>
      <c r="K25" s="66"/>
      <c r="L25" s="4" t="str">
        <f>IF($F$5="M","Bonded Concrete Pavement (140mm)","Bonded Concrete Pavement (5 inches)")</f>
        <v>Bonded Concrete Pavement (5 inches)</v>
      </c>
      <c r="M25" s="5">
        <f>IF($F$5="M",0.5,0.42)</f>
        <v>0.42</v>
      </c>
      <c r="O25" s="50"/>
      <c r="P25" s="67"/>
    </row>
    <row r="26" spans="1:16" ht="22.5" customHeight="1">
      <c r="A26" s="26"/>
      <c r="B26" s="31"/>
      <c r="C26" s="61">
        <f t="shared" si="1"/>
      </c>
      <c r="D26" s="16"/>
      <c r="E26" s="29">
        <f t="shared" si="2"/>
      </c>
      <c r="F26" s="30">
        <f t="shared" si="0"/>
      </c>
      <c r="G26" s="62">
        <f t="shared" si="4"/>
      </c>
      <c r="H26" s="62">
        <f t="shared" si="3"/>
      </c>
      <c r="I26" s="55"/>
      <c r="J26" s="55"/>
      <c r="K26" s="4"/>
      <c r="L26" s="4" t="str">
        <f>IF($F$5="M","","Bonded Concrete Pavement (5.5 inches)")</f>
        <v>Bonded Concrete Pavement (5.5 inches)</v>
      </c>
      <c r="M26" s="5">
        <f>IF($F$5="M",0.53,0.45)</f>
        <v>0.45</v>
      </c>
      <c r="O26" s="50"/>
      <c r="P26" s="5"/>
    </row>
    <row r="27" spans="1:16" ht="22.5" customHeight="1">
      <c r="A27" s="26"/>
      <c r="B27" s="31"/>
      <c r="C27" s="61">
        <f t="shared" si="1"/>
      </c>
      <c r="D27" s="16"/>
      <c r="E27" s="29">
        <f t="shared" si="2"/>
      </c>
      <c r="F27" s="30">
        <f t="shared" si="0"/>
      </c>
      <c r="G27" s="62">
        <f t="shared" si="4"/>
      </c>
      <c r="H27" s="62">
        <f t="shared" si="3"/>
      </c>
      <c r="I27" s="55"/>
      <c r="J27" s="55"/>
      <c r="K27" s="66"/>
      <c r="L27" s="4" t="str">
        <f>IF($F$5="M","Bonded Concrete Pavement (160mm)","Bonded Concrete Pavement (6 inches)")</f>
        <v>Bonded Concrete Pavement (6 inches)</v>
      </c>
      <c r="M27" s="5">
        <f>IF($F$5="M",0.57,0.48)</f>
        <v>0.48</v>
      </c>
      <c r="O27" s="50"/>
      <c r="P27" s="67"/>
    </row>
    <row r="28" spans="1:16" ht="22.5" customHeight="1">
      <c r="A28" s="26"/>
      <c r="B28" s="31"/>
      <c r="C28" s="61">
        <f t="shared" si="1"/>
      </c>
      <c r="D28" s="16"/>
      <c r="E28" s="29">
        <f t="shared" si="2"/>
      </c>
      <c r="F28" s="30">
        <f t="shared" si="0"/>
      </c>
      <c r="G28" s="62">
        <f t="shared" si="4"/>
      </c>
      <c r="H28" s="62">
        <f t="shared" si="3"/>
      </c>
      <c r="I28" s="55"/>
      <c r="J28" s="55"/>
      <c r="K28" s="4"/>
      <c r="L28" s="4" t="str">
        <f>IF($F$5="M","Concrete Pavement 160 mm","Concrete Pavement 6 inches")</f>
        <v>Concrete Pavement 6 inches</v>
      </c>
      <c r="M28" s="5">
        <f>IF($F$5="M",0.58,0.48)</f>
        <v>0.48</v>
      </c>
      <c r="O28" s="50"/>
      <c r="P28" s="5"/>
    </row>
    <row r="29" spans="1:16" ht="22.5" customHeight="1">
      <c r="A29" s="26"/>
      <c r="B29" s="31"/>
      <c r="C29" s="61">
        <f t="shared" si="1"/>
      </c>
      <c r="D29" s="16"/>
      <c r="E29" s="29">
        <f t="shared" si="2"/>
      </c>
      <c r="F29" s="30">
        <f t="shared" si="0"/>
      </c>
      <c r="G29" s="62">
        <f t="shared" si="4"/>
      </c>
      <c r="H29" s="62">
        <f t="shared" si="3"/>
      </c>
      <c r="I29" s="55"/>
      <c r="J29" s="55"/>
      <c r="K29" s="4"/>
      <c r="L29" s="4" t="str">
        <f>IF($F$5="M","","Concrete Pavement 6.5 inches")</f>
        <v>Concrete Pavement 6.5 inches</v>
      </c>
      <c r="M29" s="5">
        <f>IF($F$5="M",0.61,0.51)</f>
        <v>0.51</v>
      </c>
      <c r="O29" s="50"/>
      <c r="P29" s="5"/>
    </row>
    <row r="30" spans="1:16" ht="22.5" customHeight="1">
      <c r="A30" s="26"/>
      <c r="B30" s="31"/>
      <c r="C30" s="61">
        <f t="shared" si="1"/>
      </c>
      <c r="D30" s="16"/>
      <c r="E30" s="29">
        <f t="shared" si="2"/>
      </c>
      <c r="F30" s="30">
        <f t="shared" si="0"/>
      </c>
      <c r="G30" s="62">
        <f t="shared" si="4"/>
      </c>
      <c r="H30" s="62">
        <f t="shared" si="3"/>
      </c>
      <c r="I30" s="55"/>
      <c r="J30" s="55"/>
      <c r="K30" s="4"/>
      <c r="L30" s="4" t="str">
        <f>IF($F$5="M","Concrete Pavement 180 mm","Concrete Pavement 7 inches")</f>
        <v>Concrete Pavement 7 inches</v>
      </c>
      <c r="M30" s="5">
        <f>IF($F$5="M",0.65,0.54)</f>
        <v>0.54</v>
      </c>
      <c r="O30" s="50"/>
      <c r="P30" s="5"/>
    </row>
    <row r="31" spans="1:16" ht="22.5" customHeight="1">
      <c r="A31" s="26"/>
      <c r="B31" s="31"/>
      <c r="C31" s="61">
        <f t="shared" si="1"/>
      </c>
      <c r="D31" s="16"/>
      <c r="E31" s="29">
        <f t="shared" si="2"/>
      </c>
      <c r="F31" s="30">
        <f t="shared" si="0"/>
      </c>
      <c r="G31" s="62">
        <f t="shared" si="4"/>
      </c>
      <c r="H31" s="62">
        <f t="shared" si="3"/>
      </c>
      <c r="I31" s="55"/>
      <c r="J31" s="55"/>
      <c r="K31" s="4"/>
      <c r="L31" s="4" t="str">
        <f>IF($F$5="M","Concrete Pavement 190 mm","Concrete Pavement 7.5 inches")</f>
        <v>Concrete Pavement 7.5 inches</v>
      </c>
      <c r="M31" s="5">
        <f>IF($F$5="M",0.69,0.57)</f>
        <v>0.57</v>
      </c>
      <c r="O31" s="50"/>
      <c r="P31" s="5"/>
    </row>
    <row r="32" spans="1:16" ht="22.5" customHeight="1">
      <c r="A32" s="26"/>
      <c r="B32" s="31"/>
      <c r="C32" s="61">
        <f t="shared" si="1"/>
      </c>
      <c r="D32" s="16"/>
      <c r="E32" s="29">
        <f t="shared" si="2"/>
      </c>
      <c r="F32" s="30">
        <f t="shared" si="0"/>
      </c>
      <c r="G32" s="62">
        <f t="shared" si="4"/>
      </c>
      <c r="H32" s="62">
        <f t="shared" si="3"/>
      </c>
      <c r="I32" s="55"/>
      <c r="J32" s="55"/>
      <c r="K32" s="4"/>
      <c r="L32" s="4" t="str">
        <f>IF($F$5="M","Concrete Pavement 200 mm","Concrete Pavement 8 inches")</f>
        <v>Concrete Pavement 8 inches</v>
      </c>
      <c r="M32" s="5">
        <f>IF($F$5="M",0.72,0.6)</f>
        <v>0.6</v>
      </c>
      <c r="O32" s="50"/>
      <c r="P32" s="5"/>
    </row>
    <row r="33" spans="1:16" ht="22.5" customHeight="1">
      <c r="A33" s="26"/>
      <c r="B33" s="31"/>
      <c r="C33" s="61">
        <f t="shared" si="1"/>
      </c>
      <c r="D33" s="16"/>
      <c r="E33" s="29">
        <f t="shared" si="2"/>
      </c>
      <c r="F33" s="30">
        <f t="shared" si="0"/>
      </c>
      <c r="G33" s="62">
        <f t="shared" si="4"/>
      </c>
      <c r="H33" s="62">
        <f t="shared" si="3"/>
      </c>
      <c r="I33" s="55"/>
      <c r="J33" s="55"/>
      <c r="K33" s="6"/>
      <c r="L33" s="4" t="str">
        <f>IF($F$5="M","Concrete Pavement 220 mm","Concrete Pavement 8 1/2 inches")</f>
        <v>Concrete Pavement 8 1/2 inches</v>
      </c>
      <c r="M33" s="5">
        <f>IF($F$5="M",0.76,0.63)</f>
        <v>0.63</v>
      </c>
      <c r="N33" s="6"/>
      <c r="O33" s="50"/>
      <c r="P33" s="50"/>
    </row>
    <row r="34" spans="1:16" ht="22.5" customHeight="1">
      <c r="A34" s="26"/>
      <c r="B34" s="31"/>
      <c r="C34" s="61">
        <f t="shared" si="1"/>
      </c>
      <c r="D34" s="16"/>
      <c r="E34" s="29">
        <f t="shared" si="2"/>
      </c>
      <c r="F34" s="30">
        <f t="shared" si="0"/>
      </c>
      <c r="G34" s="62">
        <f t="shared" si="4"/>
      </c>
      <c r="H34" s="62">
        <f t="shared" si="3"/>
      </c>
      <c r="I34" s="55"/>
      <c r="J34" s="55"/>
      <c r="K34" s="7"/>
      <c r="L34" s="4" t="str">
        <f>IF($F$5="M","Concrete Pavement 230 mm","Concrete Pavement 9 inches")</f>
        <v>Concrete Pavement 9 inches</v>
      </c>
      <c r="M34" s="5">
        <f>IF($F$5="M",0.79,0.66)</f>
        <v>0.66</v>
      </c>
      <c r="N34" s="6"/>
      <c r="O34" s="50"/>
      <c r="P34" s="50"/>
    </row>
    <row r="35" spans="1:16" ht="22.5" customHeight="1">
      <c r="A35" s="26"/>
      <c r="B35" s="31"/>
      <c r="C35" s="61">
        <f t="shared" si="1"/>
      </c>
      <c r="D35" s="16"/>
      <c r="E35" s="29">
        <f t="shared" si="2"/>
      </c>
      <c r="F35" s="30">
        <f t="shared" si="0"/>
      </c>
      <c r="G35" s="62">
        <f t="shared" si="4"/>
      </c>
      <c r="H35" s="62">
        <f t="shared" si="3"/>
      </c>
      <c r="I35" s="55"/>
      <c r="J35" s="55"/>
      <c r="K35" s="7"/>
      <c r="L35" s="4" t="str">
        <f>IF($F$5="M","Concrete Pavement 240 mm","Concrete Pavement 9 1/2 inches")</f>
        <v>Concrete Pavement 9 1/2 inches</v>
      </c>
      <c r="M35" s="5">
        <f>IF($F$5="M",0.82,0.69)</f>
        <v>0.69</v>
      </c>
      <c r="N35" s="6"/>
      <c r="O35" s="50"/>
      <c r="P35" s="50"/>
    </row>
    <row r="36" spans="1:16" ht="22.5" customHeight="1">
      <c r="A36" s="26"/>
      <c r="B36" s="31"/>
      <c r="C36" s="61">
        <f t="shared" si="1"/>
      </c>
      <c r="D36" s="16"/>
      <c r="E36" s="29">
        <f t="shared" si="2"/>
      </c>
      <c r="F36" s="30">
        <f t="shared" si="0"/>
      </c>
      <c r="G36" s="62">
        <f t="shared" si="4"/>
      </c>
      <c r="H36" s="62">
        <f t="shared" si="3"/>
      </c>
      <c r="I36" s="55"/>
      <c r="J36" s="55"/>
      <c r="K36" s="7"/>
      <c r="L36" s="4" t="str">
        <f>IF($F$5="M","Concrete Pavement 250 mm","Concrete Pavement 10 inches")</f>
        <v>Concrete Pavement 10 inches</v>
      </c>
      <c r="M36" s="5">
        <f>IF($F$5="M",0.86,0.72)</f>
        <v>0.72</v>
      </c>
      <c r="N36" s="6"/>
      <c r="O36" s="50"/>
      <c r="P36" s="50"/>
    </row>
    <row r="37" spans="1:16" ht="22.5" customHeight="1">
      <c r="A37" s="26"/>
      <c r="B37" s="31"/>
      <c r="C37" s="61">
        <f t="shared" si="1"/>
      </c>
      <c r="D37" s="16"/>
      <c r="E37" s="29">
        <f t="shared" si="2"/>
      </c>
      <c r="F37" s="30">
        <f t="shared" si="0"/>
      </c>
      <c r="G37" s="62">
        <f t="shared" si="4"/>
      </c>
      <c r="H37" s="62">
        <f t="shared" si="3"/>
      </c>
      <c r="I37" s="55"/>
      <c r="J37" s="55"/>
      <c r="K37" s="7"/>
      <c r="L37" s="4">
        <f>IF(F5="M","Concrete Pavement 260 mm","")</f>
      </c>
      <c r="M37" s="5">
        <v>0.86</v>
      </c>
      <c r="N37" s="6"/>
      <c r="O37" s="50"/>
      <c r="P37" s="50"/>
    </row>
    <row r="38" spans="1:16" ht="22.5" customHeight="1">
      <c r="A38" s="26"/>
      <c r="B38" s="31"/>
      <c r="C38" s="61">
        <f t="shared" si="1"/>
      </c>
      <c r="D38" s="16"/>
      <c r="E38" s="29">
        <f t="shared" si="2"/>
      </c>
      <c r="F38" s="30">
        <f t="shared" si="0"/>
      </c>
      <c r="G38" s="62">
        <f t="shared" si="4"/>
      </c>
      <c r="H38" s="62">
        <f t="shared" si="3"/>
      </c>
      <c r="I38" s="55"/>
      <c r="J38" s="55"/>
      <c r="K38" s="7"/>
      <c r="L38" s="4" t="str">
        <f>IF($F$5="M","Concrete Pavement 270 mm","Concrete Pavement 10 1/2 inches")</f>
        <v>Concrete Pavement 10 1/2 inches</v>
      </c>
      <c r="M38" s="5">
        <f>IF($F$5="M",0.89,0.75)</f>
        <v>0.75</v>
      </c>
      <c r="N38" s="6"/>
      <c r="O38" s="50"/>
      <c r="P38" s="50"/>
    </row>
    <row r="39" spans="1:16" ht="22.5" customHeight="1">
      <c r="A39" s="39"/>
      <c r="B39" s="40"/>
      <c r="C39" s="32"/>
      <c r="D39" s="32"/>
      <c r="E39" s="33"/>
      <c r="F39" s="34"/>
      <c r="G39" s="35"/>
      <c r="H39" s="36" t="s">
        <v>66</v>
      </c>
      <c r="I39" s="47"/>
      <c r="J39" s="55"/>
      <c r="K39" s="7"/>
      <c r="L39" s="4" t="str">
        <f>IF($F$5="M","Concrete Pavement 280 mm","Concrete Pavement 11 inches")</f>
        <v>Concrete Pavement 11 inches</v>
      </c>
      <c r="M39" s="5">
        <f>IF($F$5="M",0.93,0.78)</f>
        <v>0.78</v>
      </c>
      <c r="N39" s="6"/>
      <c r="O39" s="50"/>
      <c r="P39" s="50"/>
    </row>
    <row r="40" spans="9:14" ht="12.75">
      <c r="I40" s="41"/>
      <c r="J40" s="41"/>
      <c r="K40" s="7"/>
      <c r="L40" s="4" t="str">
        <f>IF($F$5="M","Concrete Pavement 290 mm","Concrete Pavement 11 1/2 inches")</f>
        <v>Concrete Pavement 11 1/2 inches</v>
      </c>
      <c r="M40" s="5">
        <f>IF($F$5="M",0.96,0.81)</f>
        <v>0.81</v>
      </c>
      <c r="N40" s="6"/>
    </row>
    <row r="41" spans="1:14" ht="12.75">
      <c r="A41" s="42"/>
      <c r="B41" s="43"/>
      <c r="C41" s="44"/>
      <c r="D41" s="44"/>
      <c r="E41" s="45"/>
      <c r="F41" s="46"/>
      <c r="G41" s="47"/>
      <c r="H41" s="47"/>
      <c r="I41" s="47"/>
      <c r="J41" s="47"/>
      <c r="K41" s="7"/>
      <c r="L41" s="4" t="str">
        <f>IF($F$5="M","Concrete Pavement 300 mm","Concrete Pavement 12 inches")</f>
        <v>Concrete Pavement 12 inches</v>
      </c>
      <c r="M41" s="5">
        <f>IF($F$5="M",0.99,0.83)</f>
        <v>0.83</v>
      </c>
      <c r="N41" s="6"/>
    </row>
    <row r="42" spans="1:14" ht="12.75">
      <c r="A42" s="42"/>
      <c r="B42" s="43"/>
      <c r="C42" s="44"/>
      <c r="D42" s="44"/>
      <c r="E42" s="45"/>
      <c r="F42" s="46"/>
      <c r="G42" s="47"/>
      <c r="H42" s="47"/>
      <c r="I42" s="47"/>
      <c r="J42" s="47"/>
      <c r="K42" s="7"/>
      <c r="L42" s="4" t="str">
        <f>IF($F$5="M","Concrete Pavement 320 mm","Concrete Pavement 12 1/2 inches")</f>
        <v>Concrete Pavement 12 1/2 inches</v>
      </c>
      <c r="M42" s="5">
        <f>IF($F$5="M",1.02,0.86)</f>
        <v>0.86</v>
      </c>
      <c r="N42" s="6"/>
    </row>
    <row r="43" spans="1:14" ht="12.75">
      <c r="A43" s="42"/>
      <c r="B43" s="43"/>
      <c r="C43" s="44"/>
      <c r="D43" s="44"/>
      <c r="E43" s="45"/>
      <c r="F43" s="46"/>
      <c r="G43" s="47"/>
      <c r="H43" s="47"/>
      <c r="I43" s="47"/>
      <c r="J43" s="47"/>
      <c r="K43" s="7"/>
      <c r="L43" s="4" t="str">
        <f>IF($F$5="M","Concrete Pavement 330 mm","Concrete Pavement 13 inches")</f>
        <v>Concrete Pavement 13 inches</v>
      </c>
      <c r="M43" s="5">
        <f>IF($F$5="M",1.06,0.89)</f>
        <v>0.89</v>
      </c>
      <c r="N43" s="6"/>
    </row>
    <row r="44" spans="1:14" ht="12.75">
      <c r="A44" s="42"/>
      <c r="B44" s="43"/>
      <c r="C44" s="44"/>
      <c r="D44" s="44"/>
      <c r="E44" s="45"/>
      <c r="F44" s="46"/>
      <c r="G44" s="47"/>
      <c r="H44" s="47"/>
      <c r="I44" s="47"/>
      <c r="J44" s="47"/>
      <c r="K44" s="7"/>
      <c r="L44" s="4" t="str">
        <f>IF($F$5="M","Concrete Pavement 340 mm","Concrete Pavement 13 1/2 inches")</f>
        <v>Concrete Pavement 13 1/2 inches</v>
      </c>
      <c r="M44" s="5">
        <f>IF($F$5="M",1.1,0.92)</f>
        <v>0.92</v>
      </c>
      <c r="N44" s="6"/>
    </row>
    <row r="45" spans="1:14" ht="12.75">
      <c r="A45" s="42"/>
      <c r="B45" s="43"/>
      <c r="C45" s="44"/>
      <c r="D45" s="44"/>
      <c r="E45" s="45"/>
      <c r="F45" s="46"/>
      <c r="G45" s="47"/>
      <c r="H45" s="47"/>
      <c r="I45" s="47"/>
      <c r="J45" s="47"/>
      <c r="K45" s="7"/>
      <c r="L45" s="4" t="str">
        <f>IF($F$5="M","Concrete Pavement 360 mm","Concrete Pavement 14 inches")</f>
        <v>Concrete Pavement 14 inches</v>
      </c>
      <c r="M45" s="5">
        <f>IF($F$5="M",1.14,0.95)</f>
        <v>0.95</v>
      </c>
      <c r="N45" s="6"/>
    </row>
    <row r="46" spans="1:14" ht="12.75">
      <c r="A46" s="48"/>
      <c r="B46" s="48"/>
      <c r="C46" s="48"/>
      <c r="D46" s="48"/>
      <c r="E46" s="49"/>
      <c r="F46" s="48"/>
      <c r="G46" s="48"/>
      <c r="H46" s="48"/>
      <c r="I46" s="48"/>
      <c r="J46" s="48"/>
      <c r="K46" s="7"/>
      <c r="L46" s="4" t="str">
        <f>IF($F$5="M","Concrete Pavement 370 mm","Concrete Pavement 14 1/2 inches")</f>
        <v>Concrete Pavement 14 1/2 inches</v>
      </c>
      <c r="M46" s="5">
        <f>IF($F$5="M",1.17,0.98)</f>
        <v>0.98</v>
      </c>
      <c r="N46" s="6"/>
    </row>
    <row r="47" spans="1:14" ht="12.75">
      <c r="A47" s="50"/>
      <c r="B47" s="50"/>
      <c r="C47" s="50"/>
      <c r="D47" s="50"/>
      <c r="E47" s="51"/>
      <c r="F47" s="50"/>
      <c r="G47" s="50"/>
      <c r="H47" s="50"/>
      <c r="I47" s="50"/>
      <c r="J47" s="50"/>
      <c r="K47" s="7"/>
      <c r="L47" s="4" t="s">
        <v>60</v>
      </c>
      <c r="M47" s="5">
        <f>IF($F$5="M",334.65,10.2)</f>
        <v>10.2</v>
      </c>
      <c r="N47" s="6"/>
    </row>
    <row r="48" spans="1:14" ht="12.75">
      <c r="A48" s="50"/>
      <c r="B48" s="50"/>
      <c r="C48" s="50"/>
      <c r="D48" s="50"/>
      <c r="E48" s="51"/>
      <c r="F48" s="50"/>
      <c r="G48" s="50"/>
      <c r="H48" s="50"/>
      <c r="I48" s="50"/>
      <c r="J48" s="50"/>
      <c r="K48" s="7"/>
      <c r="L48" s="4" t="s">
        <v>59</v>
      </c>
      <c r="M48" s="5">
        <f>IF($F$5="M",2.65,2.4)</f>
        <v>2.4</v>
      </c>
      <c r="N48" s="6"/>
    </row>
    <row r="49" spans="1:14" ht="12.75">
      <c r="A49" s="50"/>
      <c r="B49" s="50"/>
      <c r="C49" s="50"/>
      <c r="D49" s="50"/>
      <c r="E49" s="51"/>
      <c r="F49" s="50"/>
      <c r="G49" s="50"/>
      <c r="H49" s="50"/>
      <c r="I49" s="50"/>
      <c r="J49" s="50"/>
      <c r="K49" s="7"/>
      <c r="L49" s="4" t="s">
        <v>64</v>
      </c>
      <c r="M49" s="5">
        <f>IF($F$5="M",2.65,2.4)</f>
        <v>2.4</v>
      </c>
      <c r="N49" s="6"/>
    </row>
    <row r="50" spans="1:14" ht="12.75">
      <c r="A50" s="50"/>
      <c r="B50" s="50"/>
      <c r="C50" s="50"/>
      <c r="D50" s="50"/>
      <c r="E50" s="51"/>
      <c r="F50" s="50"/>
      <c r="G50" s="50"/>
      <c r="H50" s="50"/>
      <c r="I50" s="50"/>
      <c r="J50" s="50"/>
      <c r="K50" s="7"/>
      <c r="L50" s="4" t="s">
        <v>65</v>
      </c>
      <c r="M50" s="5">
        <f>IF($F$5="M",2.65,2.4)</f>
        <v>2.4</v>
      </c>
      <c r="N50" s="6"/>
    </row>
    <row r="51" spans="11:13" ht="12.75">
      <c r="K51" s="7"/>
      <c r="L51" s="4"/>
      <c r="M51" s="5"/>
    </row>
    <row r="52" spans="11:13" ht="12.75">
      <c r="K52" s="7"/>
      <c r="L52" s="6"/>
      <c r="M52" s="6"/>
    </row>
    <row r="53" spans="11:13" ht="12.75">
      <c r="K53" s="7"/>
      <c r="L53" s="37"/>
      <c r="M53" s="37"/>
    </row>
    <row r="54" spans="11:13" ht="12.75">
      <c r="K54" s="7"/>
      <c r="L54" s="37"/>
      <c r="M54" s="37"/>
    </row>
    <row r="55" spans="12:13" ht="12.75">
      <c r="L55" s="37"/>
      <c r="M55" s="37"/>
    </row>
    <row r="56" spans="12:13" ht="12.75">
      <c r="L56" s="37"/>
      <c r="M56" s="37"/>
    </row>
    <row r="57" spans="12:13" ht="12.75">
      <c r="L57" s="37"/>
      <c r="M57" s="37"/>
    </row>
    <row r="58" spans="12:13" ht="12.75">
      <c r="L58" s="37"/>
      <c r="M58" s="37"/>
    </row>
    <row r="59" spans="12:13" ht="12.75">
      <c r="L59" s="37"/>
      <c r="M59" s="37"/>
    </row>
    <row r="60" spans="12:13" ht="12.75">
      <c r="L60" s="37"/>
      <c r="M60" s="37"/>
    </row>
    <row r="61" spans="12:13" ht="12.75">
      <c r="L61" s="37"/>
      <c r="M61" s="37"/>
    </row>
    <row r="62" spans="12:13" ht="12.75">
      <c r="L62" s="37"/>
      <c r="M62" s="37"/>
    </row>
    <row r="63" spans="12:13" ht="12.75">
      <c r="L63" s="37"/>
      <c r="M63" s="37"/>
    </row>
    <row r="64" spans="12:13" ht="12.75">
      <c r="L64" s="37"/>
      <c r="M64" s="37"/>
    </row>
    <row r="65" spans="12:13" ht="12.75">
      <c r="L65" s="37"/>
      <c r="M65" s="37"/>
    </row>
    <row r="66" spans="12:13" ht="12.75">
      <c r="L66" s="37"/>
      <c r="M66" s="37"/>
    </row>
    <row r="67" spans="12:13" ht="12.75">
      <c r="L67" s="37"/>
      <c r="M67" s="37"/>
    </row>
    <row r="68" spans="12:13" ht="12.75">
      <c r="L68" s="37"/>
      <c r="M68" s="37"/>
    </row>
    <row r="69" spans="12:13" ht="12.75">
      <c r="L69" s="37"/>
      <c r="M69" s="37"/>
    </row>
    <row r="70" ht="12.75">
      <c r="L70" s="37"/>
    </row>
    <row r="71" ht="12.75">
      <c r="L71" s="37"/>
    </row>
    <row r="72" ht="12.75">
      <c r="L72" s="37"/>
    </row>
  </sheetData>
  <sheetProtection password="BF11" sheet="1" objects="1" scenarios="1" selectLockedCells="1"/>
  <mergeCells count="4">
    <mergeCell ref="F3:H3"/>
    <mergeCell ref="F4:H4"/>
    <mergeCell ref="D5:E5"/>
    <mergeCell ref="B6:E6"/>
  </mergeCells>
  <dataValidations count="1">
    <dataValidation type="list" allowBlank="1" showInputMessage="1" showErrorMessage="1" promptTitle="Data Entry Restriction!" prompt="Please select one item from this drop down box. No other values will be accepted." errorTitle="Wrong data!" error="Please enter a value from the drop down list." sqref="B6:E6">
      <formula1>$L$7:$L$50</formula1>
    </dataValidation>
  </dataValidations>
  <printOptions/>
  <pageMargins left="1.06" right="0.5" top="0.5" bottom="0" header="0.5" footer="0"/>
  <pageSetup blackAndWhite="1" fitToHeight="1" fitToWidth="1" horizontalDpi="600" verticalDpi="600" orientation="portrait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"/>
  <sheetViews>
    <sheetView showGridLines="0" showRowColHeaders="0" zoomScalePageLayoutView="0" workbookViewId="0" topLeftCell="A1">
      <selection activeCell="B6" sqref="B6:E6"/>
    </sheetView>
  </sheetViews>
  <sheetFormatPr defaultColWidth="9.140625" defaultRowHeight="12.75"/>
  <cols>
    <col min="1" max="1" width="13.00390625" style="0" customWidth="1"/>
    <col min="2" max="2" width="13.28125" style="0" customWidth="1"/>
    <col min="3" max="3" width="9.00390625" style="0" customWidth="1"/>
    <col min="4" max="4" width="9.28125" style="0" customWidth="1"/>
    <col min="5" max="5" width="11.00390625" style="1" customWidth="1"/>
    <col min="6" max="6" width="10.57421875" style="0" customWidth="1"/>
    <col min="7" max="8" width="16.00390625" style="0" bestFit="1" customWidth="1"/>
    <col min="11" max="11" width="3.57421875" style="0" customWidth="1"/>
    <col min="12" max="12" width="47.00390625" style="0" hidden="1" customWidth="1"/>
    <col min="13" max="13" width="8.28125" style="0" hidden="1" customWidth="1"/>
    <col min="14" max="14" width="7.140625" style="0" customWidth="1"/>
    <col min="15" max="16" width="9.140625" style="0" customWidth="1"/>
  </cols>
  <sheetData>
    <row r="1" spans="1:16" ht="15">
      <c r="A1" s="8"/>
      <c r="B1" s="8"/>
      <c r="C1" s="9" t="s">
        <v>67</v>
      </c>
      <c r="D1" s="8"/>
      <c r="E1" s="10"/>
      <c r="F1" s="8"/>
      <c r="G1" s="8"/>
      <c r="H1" s="8"/>
      <c r="I1" s="52"/>
      <c r="J1" s="52"/>
      <c r="K1" s="50"/>
      <c r="L1" s="50"/>
      <c r="M1" s="50"/>
      <c r="N1" s="50"/>
      <c r="O1" s="50"/>
      <c r="P1" s="50"/>
    </row>
    <row r="2" spans="1:16" ht="17.25" customHeight="1">
      <c r="A2" s="8"/>
      <c r="B2" s="8"/>
      <c r="C2" s="8"/>
      <c r="D2" s="8"/>
      <c r="E2" s="10"/>
      <c r="F2" s="8"/>
      <c r="G2" s="8"/>
      <c r="H2" s="8"/>
      <c r="I2" s="52"/>
      <c r="J2" s="52"/>
      <c r="K2" s="50"/>
      <c r="L2" s="50"/>
      <c r="M2" s="50"/>
      <c r="N2" s="50"/>
      <c r="O2" s="50"/>
      <c r="P2" s="50"/>
    </row>
    <row r="3" spans="1:16" ht="21" customHeight="1">
      <c r="A3" s="11"/>
      <c r="B3" s="12"/>
      <c r="C3" s="11"/>
      <c r="D3" s="11"/>
      <c r="E3" s="63" t="s">
        <v>42</v>
      </c>
      <c r="F3" s="97">
        <f>IF('Item 1'!F3:H3="","",'Item 1'!F3:H3)</f>
      </c>
      <c r="G3" s="97"/>
      <c r="H3" s="97"/>
      <c r="I3" s="53"/>
      <c r="J3" s="53"/>
      <c r="K3" s="50"/>
      <c r="L3" s="50"/>
      <c r="M3" s="50"/>
      <c r="N3" s="50"/>
      <c r="O3" s="50"/>
      <c r="P3" s="50"/>
    </row>
    <row r="4" spans="1:16" ht="21" customHeight="1">
      <c r="A4" s="13" t="s">
        <v>43</v>
      </c>
      <c r="B4" s="82">
        <f>IF('Item 1'!B4="","",'Item 1'!B4)</f>
      </c>
      <c r="C4" s="38"/>
      <c r="D4" s="11"/>
      <c r="E4" s="64" t="s">
        <v>41</v>
      </c>
      <c r="F4" s="98">
        <f>IF('Item 1'!F4:H4="","",'Item 1'!F4:H4)</f>
      </c>
      <c r="G4" s="99"/>
      <c r="H4" s="100"/>
      <c r="I4" s="53"/>
      <c r="J4" s="53"/>
      <c r="K4" s="50"/>
      <c r="L4" s="57"/>
      <c r="M4" s="50"/>
      <c r="N4" s="50"/>
      <c r="O4" s="50"/>
      <c r="P4" s="50"/>
    </row>
    <row r="5" spans="1:16" ht="21" customHeight="1">
      <c r="A5" s="79" t="s">
        <v>44</v>
      </c>
      <c r="B5" s="15"/>
      <c r="C5" s="81">
        <f>IF('Item 1'!C5="","",'Item 1'!C5)</f>
      </c>
      <c r="D5" s="95" t="s">
        <v>46</v>
      </c>
      <c r="E5" s="96"/>
      <c r="F5" s="80">
        <f>IF('Item 1'!F5="","",'Item 1'!F5)</f>
      </c>
      <c r="G5" s="65" t="s">
        <v>45</v>
      </c>
      <c r="H5" s="60">
        <f>IF(B6="","",VLOOKUP(B6,L7:M50,2,FALSE))</f>
      </c>
      <c r="I5" s="53"/>
      <c r="J5" s="53"/>
      <c r="K5" s="4"/>
      <c r="L5" s="56"/>
      <c r="N5" s="4"/>
      <c r="O5" s="50"/>
      <c r="P5" s="50"/>
    </row>
    <row r="6" spans="1:16" ht="21" customHeight="1">
      <c r="A6" s="79" t="s">
        <v>20</v>
      </c>
      <c r="B6" s="88"/>
      <c r="C6" s="89"/>
      <c r="D6" s="89"/>
      <c r="E6" s="90"/>
      <c r="F6" s="58"/>
      <c r="H6" s="59"/>
      <c r="I6" s="53"/>
      <c r="J6" s="53"/>
      <c r="K6" s="4"/>
      <c r="L6" s="4" t="s">
        <v>21</v>
      </c>
      <c r="M6" s="4" t="s">
        <v>37</v>
      </c>
      <c r="O6" s="50"/>
      <c r="P6" s="4"/>
    </row>
    <row r="7" spans="1:16" ht="12.75">
      <c r="A7" s="11"/>
      <c r="B7" s="11"/>
      <c r="C7" s="17"/>
      <c r="D7" s="11"/>
      <c r="E7" s="7"/>
      <c r="F7" s="11"/>
      <c r="G7" s="11"/>
      <c r="H7" s="11"/>
      <c r="I7" s="53"/>
      <c r="J7" s="53"/>
      <c r="K7" s="4"/>
      <c r="L7" s="4" t="s">
        <v>22</v>
      </c>
      <c r="M7" s="5">
        <f>IF($F$5="M",0.33,0.25)</f>
        <v>0.25</v>
      </c>
      <c r="O7" s="50"/>
      <c r="P7" s="5"/>
    </row>
    <row r="8" spans="1:16" ht="12.75">
      <c r="A8" s="18" t="s">
        <v>0</v>
      </c>
      <c r="B8" s="18" t="s">
        <v>18</v>
      </c>
      <c r="C8" s="19" t="s">
        <v>2</v>
      </c>
      <c r="D8" s="18" t="s">
        <v>5</v>
      </c>
      <c r="E8" s="20" t="s">
        <v>8</v>
      </c>
      <c r="F8" s="18" t="s">
        <v>10</v>
      </c>
      <c r="G8" s="18" t="s">
        <v>13</v>
      </c>
      <c r="H8" s="18" t="s">
        <v>8</v>
      </c>
      <c r="I8" s="54"/>
      <c r="J8" s="54"/>
      <c r="K8" s="4"/>
      <c r="L8" s="4" t="s">
        <v>61</v>
      </c>
      <c r="M8" s="5">
        <f>IF($F$5="M",0.33,0.25)</f>
        <v>0.25</v>
      </c>
      <c r="O8" s="50"/>
      <c r="P8" s="5"/>
    </row>
    <row r="9" spans="1:16" ht="12.75">
      <c r="A9" s="21"/>
      <c r="B9" s="22" t="s">
        <v>16</v>
      </c>
      <c r="C9" s="22" t="s">
        <v>3</v>
      </c>
      <c r="D9" s="22" t="s">
        <v>6</v>
      </c>
      <c r="E9" s="23"/>
      <c r="F9" s="22" t="s">
        <v>11</v>
      </c>
      <c r="G9" s="22" t="s">
        <v>14</v>
      </c>
      <c r="H9" s="22" t="s">
        <v>9</v>
      </c>
      <c r="I9" s="54"/>
      <c r="J9" s="54"/>
      <c r="K9" s="4"/>
      <c r="L9" s="4" t="s">
        <v>19</v>
      </c>
      <c r="M9" s="5">
        <f>IF($F$5="M",0.43,0.33)</f>
        <v>0.33</v>
      </c>
      <c r="O9" s="50"/>
      <c r="P9" s="5"/>
    </row>
    <row r="10" spans="1:16" ht="12.75">
      <c r="A10" s="24" t="s">
        <v>1</v>
      </c>
      <c r="B10" s="24" t="s">
        <v>17</v>
      </c>
      <c r="C10" s="24" t="s">
        <v>4</v>
      </c>
      <c r="D10" s="24" t="s">
        <v>7</v>
      </c>
      <c r="E10" s="25" t="s">
        <v>9</v>
      </c>
      <c r="F10" s="24" t="s">
        <v>12</v>
      </c>
      <c r="G10" s="24" t="s">
        <v>15</v>
      </c>
      <c r="H10" s="24" t="s">
        <v>15</v>
      </c>
      <c r="I10" s="54"/>
      <c r="J10" s="54"/>
      <c r="K10" s="4"/>
      <c r="L10" s="4" t="s">
        <v>62</v>
      </c>
      <c r="M10" s="5">
        <f>IF($F$5="M",0.43,0.33)</f>
        <v>0.33</v>
      </c>
      <c r="O10" s="50"/>
      <c r="P10" s="5"/>
    </row>
    <row r="11" spans="1:16" ht="22.5" customHeight="1">
      <c r="A11" s="26"/>
      <c r="B11" s="27"/>
      <c r="C11" s="61">
        <f>IF(H5="","",ABS($H$5))</f>
      </c>
      <c r="D11" s="28"/>
      <c r="E11" s="29">
        <f>IF(D11="","",+D11)</f>
      </c>
      <c r="F11" s="30">
        <f>+IF(B11="","",(B11-$C$5))</f>
      </c>
      <c r="G11" s="62">
        <f>IF(C11="","",IF(F11="","",+C11*D11*F11))</f>
      </c>
      <c r="H11" s="62">
        <f>+G11</f>
      </c>
      <c r="I11" s="54"/>
      <c r="J11" s="54"/>
      <c r="K11" s="4"/>
      <c r="L11" s="4" t="s">
        <v>24</v>
      </c>
      <c r="M11" s="5">
        <f>IF($F$5="M",0.38,0.29)</f>
        <v>0.29</v>
      </c>
      <c r="O11" s="50"/>
      <c r="P11" s="5"/>
    </row>
    <row r="12" spans="1:16" ht="22.5" customHeight="1">
      <c r="A12" s="26"/>
      <c r="B12" s="31"/>
      <c r="C12" s="61">
        <f>IF(B12="","",ABS($H$5))</f>
      </c>
      <c r="D12" s="16"/>
      <c r="E12" s="29">
        <f>IF(D12="","",+D12+E11)</f>
      </c>
      <c r="F12" s="30">
        <f aca="true" t="shared" si="0" ref="F12:F38">+IF(B12="","",(B12-$C$5))</f>
      </c>
      <c r="G12" s="62">
        <f>IF(C12="","",IF(F12="","",+C12*D12*F12))</f>
      </c>
      <c r="H12" s="62">
        <f>IF(G12="","",+H11+G12)</f>
      </c>
      <c r="I12" s="55"/>
      <c r="J12" s="55"/>
      <c r="K12" s="4"/>
      <c r="L12" s="4" t="s">
        <v>25</v>
      </c>
      <c r="M12" s="5">
        <f>IF($F$5="M",0.39,0.3)</f>
        <v>0.3</v>
      </c>
      <c r="O12" s="50"/>
      <c r="P12" s="5"/>
    </row>
    <row r="13" spans="1:16" ht="22.5" customHeight="1">
      <c r="A13" s="26"/>
      <c r="B13" s="31"/>
      <c r="C13" s="61">
        <f aca="true" t="shared" si="1" ref="C13:C38">IF(B13="","",ABS($H$5))</f>
      </c>
      <c r="D13" s="16"/>
      <c r="E13" s="29">
        <f aca="true" t="shared" si="2" ref="E13:E38">IF(D13="","",+D13+E12)</f>
      </c>
      <c r="F13" s="30">
        <f t="shared" si="0"/>
      </c>
      <c r="G13" s="62">
        <f>IF(C13="","",IF(F13="","",+C13*D13*F13))</f>
      </c>
      <c r="H13" s="62">
        <f aca="true" t="shared" si="3" ref="H13:H38">IF(G13="","",+H12+G13)</f>
      </c>
      <c r="I13" s="55"/>
      <c r="J13" s="55"/>
      <c r="K13" s="4"/>
      <c r="L13" s="4" t="s">
        <v>63</v>
      </c>
      <c r="M13" s="5">
        <f>IF($F$5="M",0.36,0.3)</f>
        <v>0.3</v>
      </c>
      <c r="O13" s="50"/>
      <c r="P13" s="5"/>
    </row>
    <row r="14" spans="1:16" ht="22.5" customHeight="1">
      <c r="A14" s="26"/>
      <c r="B14" s="31"/>
      <c r="C14" s="61">
        <f t="shared" si="1"/>
      </c>
      <c r="D14" s="16"/>
      <c r="E14" s="29">
        <f t="shared" si="2"/>
      </c>
      <c r="F14" s="30">
        <f t="shared" si="0"/>
      </c>
      <c r="G14" s="62">
        <f>IF(C14="","",IF(F14="","",+C14*D14*F14))</f>
      </c>
      <c r="H14" s="62">
        <f t="shared" si="3"/>
      </c>
      <c r="I14" s="55"/>
      <c r="J14" s="55"/>
      <c r="K14" s="66"/>
      <c r="L14" s="4" t="str">
        <f>IF($F$5="M","Concrete Placement:  75mm","Concrete Placement:  3 inches")</f>
        <v>Concrete Placement:  3 inches</v>
      </c>
      <c r="M14" s="5">
        <f>IF($F$5="M",0.36,0.3)</f>
        <v>0.3</v>
      </c>
      <c r="O14" s="50"/>
      <c r="P14" s="67"/>
    </row>
    <row r="15" spans="1:16" ht="22.5" customHeight="1">
      <c r="A15" s="26"/>
      <c r="B15" s="31"/>
      <c r="C15" s="61">
        <f t="shared" si="1"/>
      </c>
      <c r="D15" s="16"/>
      <c r="E15" s="29">
        <f t="shared" si="2"/>
      </c>
      <c r="F15" s="30">
        <f t="shared" si="0"/>
      </c>
      <c r="G15" s="62">
        <f>IF(C15="","",IF(F15="","",+C15*D15*F15))</f>
      </c>
      <c r="H15" s="62">
        <f t="shared" si="3"/>
      </c>
      <c r="I15" s="55"/>
      <c r="J15" s="55"/>
      <c r="K15" s="66"/>
      <c r="L15" s="4" t="str">
        <f>IF($F$5="M","","Concrete Placement:  3.5 inches")</f>
        <v>Concrete Placement:  3.5 inches</v>
      </c>
      <c r="M15" s="5">
        <f>IF($F$5="M",0.39,0.33)</f>
        <v>0.33</v>
      </c>
      <c r="O15" s="50"/>
      <c r="P15" s="67"/>
    </row>
    <row r="16" spans="1:16" ht="22.5" customHeight="1">
      <c r="A16" s="26"/>
      <c r="B16" s="31"/>
      <c r="C16" s="61">
        <f t="shared" si="1"/>
      </c>
      <c r="D16" s="16"/>
      <c r="E16" s="29">
        <f t="shared" si="2"/>
      </c>
      <c r="F16" s="30">
        <f t="shared" si="0"/>
      </c>
      <c r="G16" s="62">
        <f aca="true" t="shared" si="4" ref="G16:G38">IF(F16="","",+C16*D16*F16)</f>
      </c>
      <c r="H16" s="62">
        <f t="shared" si="3"/>
      </c>
      <c r="I16" s="55"/>
      <c r="J16" s="55"/>
      <c r="K16" s="4"/>
      <c r="L16" s="4" t="str">
        <f>IF($F$5="M","Concrete Placement:  100mm","Concrete Placement:  4 inches")</f>
        <v>Concrete Placement:  4 inches</v>
      </c>
      <c r="M16" s="5">
        <f>IF($F$5="M",0.43,0.36)</f>
        <v>0.36</v>
      </c>
      <c r="O16" s="50"/>
      <c r="P16" s="5"/>
    </row>
    <row r="17" spans="1:16" ht="22.5" customHeight="1">
      <c r="A17" s="26"/>
      <c r="B17" s="31"/>
      <c r="C17" s="61">
        <f t="shared" si="1"/>
      </c>
      <c r="D17" s="16"/>
      <c r="E17" s="29">
        <f t="shared" si="2"/>
      </c>
      <c r="F17" s="30">
        <f t="shared" si="0"/>
      </c>
      <c r="G17" s="62">
        <f t="shared" si="4"/>
      </c>
      <c r="H17" s="62">
        <f t="shared" si="3"/>
      </c>
      <c r="I17" s="55"/>
      <c r="J17" s="55"/>
      <c r="K17" s="66"/>
      <c r="L17" s="4" t="str">
        <f>IF($F$5="M","","Concrete Placement:  4.5 inches")</f>
        <v>Concrete Placement:  4.5 inches</v>
      </c>
      <c r="M17" s="5">
        <f>IF($F$5="M",0.46,0.39)</f>
        <v>0.39</v>
      </c>
      <c r="O17" s="50"/>
      <c r="P17" s="67"/>
    </row>
    <row r="18" spans="1:16" ht="22.5" customHeight="1">
      <c r="A18" s="26"/>
      <c r="B18" s="31"/>
      <c r="C18" s="61">
        <f t="shared" si="1"/>
      </c>
      <c r="D18" s="16"/>
      <c r="E18" s="29">
        <f t="shared" si="2"/>
      </c>
      <c r="F18" s="30">
        <f t="shared" si="0"/>
      </c>
      <c r="G18" s="62">
        <f t="shared" si="4"/>
      </c>
      <c r="H18" s="62">
        <f t="shared" si="3"/>
      </c>
      <c r="I18" s="55"/>
      <c r="J18" s="55"/>
      <c r="K18" s="4"/>
      <c r="L18" s="4" t="str">
        <f>IF($F$5="M","Concrete Placement:  140mm","Concrete Placement:  5 inches")</f>
        <v>Concrete Placement:  5 inches</v>
      </c>
      <c r="M18" s="5">
        <f>IF($F$5="M",0.5,0.42)</f>
        <v>0.42</v>
      </c>
      <c r="O18" s="50"/>
      <c r="P18" s="5"/>
    </row>
    <row r="19" spans="1:16" ht="22.5" customHeight="1">
      <c r="A19" s="26"/>
      <c r="B19" s="31"/>
      <c r="C19" s="61">
        <f t="shared" si="1"/>
      </c>
      <c r="D19" s="16"/>
      <c r="E19" s="29">
        <f t="shared" si="2"/>
      </c>
      <c r="F19" s="30">
        <f t="shared" si="0"/>
      </c>
      <c r="G19" s="62">
        <f t="shared" si="4"/>
      </c>
      <c r="H19" s="62">
        <f t="shared" si="3"/>
      </c>
      <c r="I19" s="55"/>
      <c r="J19" s="55"/>
      <c r="K19" s="66"/>
      <c r="L19" s="4" t="str">
        <f>IF($F$5="M","","Concrete Placement:  5.5 inches")</f>
        <v>Concrete Placement:  5.5 inches</v>
      </c>
      <c r="M19" s="5">
        <f>IF($F$5="M",0.53,0.45)</f>
        <v>0.45</v>
      </c>
      <c r="O19" s="50"/>
      <c r="P19" s="67"/>
    </row>
    <row r="20" spans="1:16" ht="21" customHeight="1">
      <c r="A20" s="26"/>
      <c r="B20" s="31"/>
      <c r="C20" s="61">
        <f t="shared" si="1"/>
      </c>
      <c r="D20" s="16"/>
      <c r="E20" s="29">
        <f t="shared" si="2"/>
      </c>
      <c r="F20" s="30">
        <f t="shared" si="0"/>
      </c>
      <c r="G20" s="62">
        <f t="shared" si="4"/>
      </c>
      <c r="H20" s="62">
        <f t="shared" si="3"/>
      </c>
      <c r="I20" s="55"/>
      <c r="J20" s="55"/>
      <c r="K20" s="4"/>
      <c r="L20" s="4" t="str">
        <f>IF($F$5="M","Concrete Placement:  160mm","Concrete Placement:  6 inches")</f>
        <v>Concrete Placement:  6 inches</v>
      </c>
      <c r="M20" s="5">
        <f>IF($F$5="M",0.57,0.48)</f>
        <v>0.48</v>
      </c>
      <c r="O20" s="50"/>
      <c r="P20" s="5"/>
    </row>
    <row r="21" spans="1:16" ht="21" customHeight="1">
      <c r="A21" s="26"/>
      <c r="B21" s="31"/>
      <c r="C21" s="61">
        <f t="shared" si="1"/>
      </c>
      <c r="D21" s="16"/>
      <c r="E21" s="29">
        <f t="shared" si="2"/>
      </c>
      <c r="F21" s="30">
        <f t="shared" si="0"/>
      </c>
      <c r="G21" s="62">
        <f t="shared" si="4"/>
      </c>
      <c r="H21" s="62">
        <f t="shared" si="3"/>
      </c>
      <c r="I21" s="55"/>
      <c r="J21" s="55"/>
      <c r="K21" s="66"/>
      <c r="L21" s="4" t="str">
        <f>IF($F$5="M","Bonded Concrete Pavement (75mm)","Bonded Concrete Pavement (3 inches)")</f>
        <v>Bonded Concrete Pavement (3 inches)</v>
      </c>
      <c r="M21" s="5">
        <f>IF($F$5="M",0.36,0.3)</f>
        <v>0.3</v>
      </c>
      <c r="O21" s="50"/>
      <c r="P21" s="67"/>
    </row>
    <row r="22" spans="1:16" ht="21" customHeight="1">
      <c r="A22" s="26"/>
      <c r="B22" s="31"/>
      <c r="C22" s="61">
        <f t="shared" si="1"/>
      </c>
      <c r="D22" s="16"/>
      <c r="E22" s="29">
        <f t="shared" si="2"/>
      </c>
      <c r="F22" s="30">
        <f t="shared" si="0"/>
      </c>
      <c r="G22" s="62">
        <f t="shared" si="4"/>
      </c>
      <c r="H22" s="62">
        <f t="shared" si="3"/>
      </c>
      <c r="I22" s="55"/>
      <c r="J22" s="55"/>
      <c r="K22" s="4"/>
      <c r="L22" s="4" t="str">
        <f>IF($F$5="M","","Bonded Concrete Pavement (3.5 inches)")</f>
        <v>Bonded Concrete Pavement (3.5 inches)</v>
      </c>
      <c r="M22" s="5">
        <f>IF($F$5="M",0.39,0.33)</f>
        <v>0.33</v>
      </c>
      <c r="O22" s="50"/>
      <c r="P22" s="5"/>
    </row>
    <row r="23" spans="1:16" ht="22.5" customHeight="1">
      <c r="A23" s="26"/>
      <c r="B23" s="31"/>
      <c r="C23" s="61">
        <f t="shared" si="1"/>
      </c>
      <c r="D23" s="16"/>
      <c r="E23" s="29">
        <f t="shared" si="2"/>
      </c>
      <c r="F23" s="30">
        <f t="shared" si="0"/>
      </c>
      <c r="G23" s="62">
        <f t="shared" si="4"/>
      </c>
      <c r="H23" s="62">
        <f t="shared" si="3"/>
      </c>
      <c r="I23" s="55"/>
      <c r="J23" s="55"/>
      <c r="K23" s="66"/>
      <c r="L23" s="4" t="str">
        <f>IF($F$5="M","Bonded Concrete Pavement (100mm)","Bonded Concrete Pavement (4 inches)")</f>
        <v>Bonded Concrete Pavement (4 inches)</v>
      </c>
      <c r="M23" s="5">
        <f>IF($F$5="M",0.43,0.36)</f>
        <v>0.36</v>
      </c>
      <c r="O23" s="50"/>
      <c r="P23" s="67"/>
    </row>
    <row r="24" spans="1:16" ht="22.5" customHeight="1">
      <c r="A24" s="26"/>
      <c r="B24" s="31"/>
      <c r="C24" s="61">
        <f t="shared" si="1"/>
      </c>
      <c r="D24" s="16"/>
      <c r="E24" s="29">
        <f t="shared" si="2"/>
      </c>
      <c r="F24" s="30">
        <f t="shared" si="0"/>
      </c>
      <c r="G24" s="62">
        <f t="shared" si="4"/>
      </c>
      <c r="H24" s="62">
        <f t="shared" si="3"/>
      </c>
      <c r="I24" s="55"/>
      <c r="J24" s="55"/>
      <c r="K24" s="4"/>
      <c r="L24" s="4" t="str">
        <f>IF($F$5="M","","Bonded Concrete Pavement (4.5 inches)")</f>
        <v>Bonded Concrete Pavement (4.5 inches)</v>
      </c>
      <c r="M24" s="5">
        <f>IF($F$5="M",0.46,0.39)</f>
        <v>0.39</v>
      </c>
      <c r="O24" s="50"/>
      <c r="P24" s="5"/>
    </row>
    <row r="25" spans="1:16" ht="22.5" customHeight="1">
      <c r="A25" s="26"/>
      <c r="B25" s="31"/>
      <c r="C25" s="61">
        <f t="shared" si="1"/>
      </c>
      <c r="D25" s="16"/>
      <c r="E25" s="29">
        <f t="shared" si="2"/>
      </c>
      <c r="F25" s="30">
        <f t="shared" si="0"/>
      </c>
      <c r="G25" s="62">
        <f t="shared" si="4"/>
      </c>
      <c r="H25" s="62">
        <f t="shared" si="3"/>
      </c>
      <c r="I25" s="55"/>
      <c r="J25" s="55"/>
      <c r="K25" s="66"/>
      <c r="L25" s="4" t="str">
        <f>IF($F$5="M","Bonded Concrete Pavement (140mm)","Bonded Concrete Pavement (5 inches)")</f>
        <v>Bonded Concrete Pavement (5 inches)</v>
      </c>
      <c r="M25" s="5">
        <f>IF($F$5="M",0.5,0.42)</f>
        <v>0.42</v>
      </c>
      <c r="O25" s="50"/>
      <c r="P25" s="67"/>
    </row>
    <row r="26" spans="1:16" ht="22.5" customHeight="1">
      <c r="A26" s="26"/>
      <c r="B26" s="31"/>
      <c r="C26" s="61">
        <f t="shared" si="1"/>
      </c>
      <c r="D26" s="16"/>
      <c r="E26" s="29">
        <f t="shared" si="2"/>
      </c>
      <c r="F26" s="30">
        <f t="shared" si="0"/>
      </c>
      <c r="G26" s="62">
        <f t="shared" si="4"/>
      </c>
      <c r="H26" s="62">
        <f t="shared" si="3"/>
      </c>
      <c r="I26" s="55"/>
      <c r="J26" s="55"/>
      <c r="K26" s="4"/>
      <c r="L26" s="4" t="str">
        <f>IF($F$5="M","","Bonded Concrete Pavement (5.5 inches)")</f>
        <v>Bonded Concrete Pavement (5.5 inches)</v>
      </c>
      <c r="M26" s="5">
        <f>IF($F$5="M",0.53,0.45)</f>
        <v>0.45</v>
      </c>
      <c r="O26" s="50"/>
      <c r="P26" s="5"/>
    </row>
    <row r="27" spans="1:16" ht="22.5" customHeight="1">
      <c r="A27" s="26"/>
      <c r="B27" s="31"/>
      <c r="C27" s="61">
        <f t="shared" si="1"/>
      </c>
      <c r="D27" s="16"/>
      <c r="E27" s="29">
        <f t="shared" si="2"/>
      </c>
      <c r="F27" s="30">
        <f t="shared" si="0"/>
      </c>
      <c r="G27" s="62">
        <f t="shared" si="4"/>
      </c>
      <c r="H27" s="62">
        <f t="shared" si="3"/>
      </c>
      <c r="I27" s="55"/>
      <c r="J27" s="55"/>
      <c r="K27" s="66"/>
      <c r="L27" s="4" t="str">
        <f>IF($F$5="M","Bonded Concrete Pavement (160mm)","Bonded Concrete Pavement (6 inches)")</f>
        <v>Bonded Concrete Pavement (6 inches)</v>
      </c>
      <c r="M27" s="5">
        <f>IF($F$5="M",0.57,0.48)</f>
        <v>0.48</v>
      </c>
      <c r="O27" s="50"/>
      <c r="P27" s="67"/>
    </row>
    <row r="28" spans="1:16" ht="22.5" customHeight="1">
      <c r="A28" s="26"/>
      <c r="B28" s="31"/>
      <c r="C28" s="61">
        <f t="shared" si="1"/>
      </c>
      <c r="D28" s="16"/>
      <c r="E28" s="29">
        <f t="shared" si="2"/>
      </c>
      <c r="F28" s="30">
        <f t="shared" si="0"/>
      </c>
      <c r="G28" s="62">
        <f t="shared" si="4"/>
      </c>
      <c r="H28" s="62">
        <f t="shared" si="3"/>
      </c>
      <c r="I28" s="55"/>
      <c r="J28" s="55"/>
      <c r="K28" s="4"/>
      <c r="L28" s="4" t="str">
        <f>IF($F$5="M","Concrete Pavement 160 mm","Concrete Pavement 6 inches")</f>
        <v>Concrete Pavement 6 inches</v>
      </c>
      <c r="M28" s="5">
        <f>IF($F$5="M",0.58,0.48)</f>
        <v>0.48</v>
      </c>
      <c r="O28" s="50"/>
      <c r="P28" s="5"/>
    </row>
    <row r="29" spans="1:16" ht="22.5" customHeight="1">
      <c r="A29" s="26"/>
      <c r="B29" s="31"/>
      <c r="C29" s="61">
        <f t="shared" si="1"/>
      </c>
      <c r="D29" s="16"/>
      <c r="E29" s="29">
        <f t="shared" si="2"/>
      </c>
      <c r="F29" s="30">
        <f t="shared" si="0"/>
      </c>
      <c r="G29" s="62">
        <f t="shared" si="4"/>
      </c>
      <c r="H29" s="62">
        <f t="shared" si="3"/>
      </c>
      <c r="I29" s="55"/>
      <c r="J29" s="55"/>
      <c r="K29" s="4"/>
      <c r="L29" s="4" t="str">
        <f>IF($F$5="M","","Concrete Pavement 6.5 inches")</f>
        <v>Concrete Pavement 6.5 inches</v>
      </c>
      <c r="M29" s="5">
        <f>IF($F$5="M",0.61,0.51)</f>
        <v>0.51</v>
      </c>
      <c r="O29" s="50"/>
      <c r="P29" s="5"/>
    </row>
    <row r="30" spans="1:16" ht="22.5" customHeight="1">
      <c r="A30" s="26"/>
      <c r="B30" s="31"/>
      <c r="C30" s="61">
        <f t="shared" si="1"/>
      </c>
      <c r="D30" s="16"/>
      <c r="E30" s="29">
        <f t="shared" si="2"/>
      </c>
      <c r="F30" s="30">
        <f t="shared" si="0"/>
      </c>
      <c r="G30" s="62">
        <f t="shared" si="4"/>
      </c>
      <c r="H30" s="62">
        <f t="shared" si="3"/>
      </c>
      <c r="I30" s="55"/>
      <c r="J30" s="55"/>
      <c r="K30" s="4"/>
      <c r="L30" s="4" t="str">
        <f>IF($F$5="M","Concrete Pavement 180 mm","Concrete Pavement 7 inches")</f>
        <v>Concrete Pavement 7 inches</v>
      </c>
      <c r="M30" s="5">
        <f>IF($F$5="M",0.65,0.54)</f>
        <v>0.54</v>
      </c>
      <c r="O30" s="50"/>
      <c r="P30" s="5"/>
    </row>
    <row r="31" spans="1:16" ht="22.5" customHeight="1">
      <c r="A31" s="26"/>
      <c r="B31" s="31"/>
      <c r="C31" s="61">
        <f t="shared" si="1"/>
      </c>
      <c r="D31" s="16"/>
      <c r="E31" s="29">
        <f t="shared" si="2"/>
      </c>
      <c r="F31" s="30">
        <f t="shared" si="0"/>
      </c>
      <c r="G31" s="62">
        <f t="shared" si="4"/>
      </c>
      <c r="H31" s="62">
        <f t="shared" si="3"/>
      </c>
      <c r="I31" s="55"/>
      <c r="J31" s="55"/>
      <c r="K31" s="4"/>
      <c r="L31" s="4" t="str">
        <f>IF($F$5="M","Concrete Pavement 190 mm","Concrete Pavement 7.5 inches")</f>
        <v>Concrete Pavement 7.5 inches</v>
      </c>
      <c r="M31" s="5">
        <f>IF($F$5="M",0.69,0.57)</f>
        <v>0.57</v>
      </c>
      <c r="O31" s="50"/>
      <c r="P31" s="5"/>
    </row>
    <row r="32" spans="1:16" ht="22.5" customHeight="1">
      <c r="A32" s="26"/>
      <c r="B32" s="31"/>
      <c r="C32" s="61">
        <f t="shared" si="1"/>
      </c>
      <c r="D32" s="16"/>
      <c r="E32" s="29">
        <f t="shared" si="2"/>
      </c>
      <c r="F32" s="30">
        <f t="shared" si="0"/>
      </c>
      <c r="G32" s="62">
        <f t="shared" si="4"/>
      </c>
      <c r="H32" s="62">
        <f t="shared" si="3"/>
      </c>
      <c r="I32" s="55"/>
      <c r="J32" s="55"/>
      <c r="K32" s="4"/>
      <c r="L32" s="4" t="str">
        <f>IF($F$5="M","Concrete Pavement 200 mm","Concrete Pavement 8 inches")</f>
        <v>Concrete Pavement 8 inches</v>
      </c>
      <c r="M32" s="5">
        <f>IF($F$5="M",0.72,0.6)</f>
        <v>0.6</v>
      </c>
      <c r="O32" s="50"/>
      <c r="P32" s="5"/>
    </row>
    <row r="33" spans="1:16" ht="22.5" customHeight="1">
      <c r="A33" s="26"/>
      <c r="B33" s="31"/>
      <c r="C33" s="61">
        <f t="shared" si="1"/>
      </c>
      <c r="D33" s="16"/>
      <c r="E33" s="29">
        <f t="shared" si="2"/>
      </c>
      <c r="F33" s="30">
        <f t="shared" si="0"/>
      </c>
      <c r="G33" s="62">
        <f t="shared" si="4"/>
      </c>
      <c r="H33" s="62">
        <f t="shared" si="3"/>
      </c>
      <c r="I33" s="55"/>
      <c r="J33" s="55"/>
      <c r="K33" s="6"/>
      <c r="L33" s="4" t="str">
        <f>IF($F$5="M","Concrete Pavement 220 mm","Concrete Pavement 8 1/2 inches")</f>
        <v>Concrete Pavement 8 1/2 inches</v>
      </c>
      <c r="M33" s="5">
        <f>IF($F$5="M",0.76,0.63)</f>
        <v>0.63</v>
      </c>
      <c r="N33" s="6"/>
      <c r="O33" s="50"/>
      <c r="P33" s="50"/>
    </row>
    <row r="34" spans="1:16" ht="22.5" customHeight="1">
      <c r="A34" s="26"/>
      <c r="B34" s="31"/>
      <c r="C34" s="61">
        <f t="shared" si="1"/>
      </c>
      <c r="D34" s="16"/>
      <c r="E34" s="29">
        <f t="shared" si="2"/>
      </c>
      <c r="F34" s="30">
        <f t="shared" si="0"/>
      </c>
      <c r="G34" s="62">
        <f t="shared" si="4"/>
      </c>
      <c r="H34" s="62">
        <f t="shared" si="3"/>
      </c>
      <c r="I34" s="55"/>
      <c r="J34" s="55"/>
      <c r="K34" s="7"/>
      <c r="L34" s="4" t="str">
        <f>IF($F$5="M","Concrete Pavement 230 mm","Concrete Pavement 9 inches")</f>
        <v>Concrete Pavement 9 inches</v>
      </c>
      <c r="M34" s="5">
        <f>IF($F$5="M",0.79,0.66)</f>
        <v>0.66</v>
      </c>
      <c r="N34" s="6"/>
      <c r="O34" s="50"/>
      <c r="P34" s="50"/>
    </row>
    <row r="35" spans="1:16" ht="22.5" customHeight="1">
      <c r="A35" s="26"/>
      <c r="B35" s="31"/>
      <c r="C35" s="61">
        <f t="shared" si="1"/>
      </c>
      <c r="D35" s="16"/>
      <c r="E35" s="29">
        <f t="shared" si="2"/>
      </c>
      <c r="F35" s="30">
        <f t="shared" si="0"/>
      </c>
      <c r="G35" s="62">
        <f t="shared" si="4"/>
      </c>
      <c r="H35" s="62">
        <f t="shared" si="3"/>
      </c>
      <c r="I35" s="55"/>
      <c r="J35" s="55"/>
      <c r="K35" s="7"/>
      <c r="L35" s="4" t="str">
        <f>IF($F$5="M","Concrete Pavement 240 mm","Concrete Pavement 9 1/2 inches")</f>
        <v>Concrete Pavement 9 1/2 inches</v>
      </c>
      <c r="M35" s="5">
        <f>IF($F$5="M",0.82,0.69)</f>
        <v>0.69</v>
      </c>
      <c r="N35" s="6"/>
      <c r="O35" s="50"/>
      <c r="P35" s="50"/>
    </row>
    <row r="36" spans="1:16" ht="22.5" customHeight="1">
      <c r="A36" s="26"/>
      <c r="B36" s="31"/>
      <c r="C36" s="61">
        <f t="shared" si="1"/>
      </c>
      <c r="D36" s="16"/>
      <c r="E36" s="29">
        <f t="shared" si="2"/>
      </c>
      <c r="F36" s="30">
        <f t="shared" si="0"/>
      </c>
      <c r="G36" s="62">
        <f t="shared" si="4"/>
      </c>
      <c r="H36" s="62">
        <f t="shared" si="3"/>
      </c>
      <c r="I36" s="55"/>
      <c r="J36" s="55"/>
      <c r="K36" s="7"/>
      <c r="L36" s="4" t="str">
        <f>IF($F$5="M","Concrete Pavement 250 mm","Concrete Pavement 10 inches")</f>
        <v>Concrete Pavement 10 inches</v>
      </c>
      <c r="M36" s="5">
        <f>IF($F$5="M",0.86,0.72)</f>
        <v>0.72</v>
      </c>
      <c r="N36" s="6"/>
      <c r="O36" s="50"/>
      <c r="P36" s="50"/>
    </row>
    <row r="37" spans="1:16" ht="22.5" customHeight="1">
      <c r="A37" s="26"/>
      <c r="B37" s="31"/>
      <c r="C37" s="61">
        <f t="shared" si="1"/>
      </c>
      <c r="D37" s="16"/>
      <c r="E37" s="29">
        <f t="shared" si="2"/>
      </c>
      <c r="F37" s="30">
        <f t="shared" si="0"/>
      </c>
      <c r="G37" s="62">
        <f t="shared" si="4"/>
      </c>
      <c r="H37" s="62">
        <f t="shared" si="3"/>
      </c>
      <c r="I37" s="55"/>
      <c r="J37" s="55"/>
      <c r="K37" s="7"/>
      <c r="L37" s="4">
        <f>IF(F5="M","Concrete Pavement 260 mm","")</f>
      </c>
      <c r="M37" s="5">
        <v>0.86</v>
      </c>
      <c r="N37" s="6"/>
      <c r="O37" s="50"/>
      <c r="P37" s="50"/>
    </row>
    <row r="38" spans="1:16" ht="22.5" customHeight="1">
      <c r="A38" s="26"/>
      <c r="B38" s="31"/>
      <c r="C38" s="61">
        <f t="shared" si="1"/>
      </c>
      <c r="D38" s="16"/>
      <c r="E38" s="29">
        <f t="shared" si="2"/>
      </c>
      <c r="F38" s="30">
        <f t="shared" si="0"/>
      </c>
      <c r="G38" s="62">
        <f t="shared" si="4"/>
      </c>
      <c r="H38" s="62">
        <f t="shared" si="3"/>
      </c>
      <c r="I38" s="55"/>
      <c r="J38" s="55"/>
      <c r="K38" s="7"/>
      <c r="L38" s="4" t="str">
        <f>IF($F$5="M","Concrete Pavement 270 mm","Concrete Pavement 10 1/2 inches")</f>
        <v>Concrete Pavement 10 1/2 inches</v>
      </c>
      <c r="M38" s="5">
        <f>IF($F$5="M",0.89,0.75)</f>
        <v>0.75</v>
      </c>
      <c r="N38" s="6"/>
      <c r="O38" s="50"/>
      <c r="P38" s="50"/>
    </row>
    <row r="39" spans="1:16" ht="22.5" customHeight="1">
      <c r="A39" s="39"/>
      <c r="B39" s="40"/>
      <c r="C39" s="32"/>
      <c r="D39" s="32"/>
      <c r="E39" s="33"/>
      <c r="F39" s="34"/>
      <c r="G39" s="35"/>
      <c r="H39" s="36" t="s">
        <v>66</v>
      </c>
      <c r="I39" s="47"/>
      <c r="J39" s="55"/>
      <c r="K39" s="7"/>
      <c r="L39" s="4" t="str">
        <f>IF($F$5="M","Concrete Pavement 280 mm","Concrete Pavement 11 inches")</f>
        <v>Concrete Pavement 11 inches</v>
      </c>
      <c r="M39" s="5">
        <f>IF($F$5="M",0.93,0.78)</f>
        <v>0.78</v>
      </c>
      <c r="N39" s="6"/>
      <c r="O39" s="50"/>
      <c r="P39" s="50"/>
    </row>
    <row r="40" spans="9:14" ht="12.75">
      <c r="I40" s="41"/>
      <c r="J40" s="41"/>
      <c r="K40" s="7"/>
      <c r="L40" s="4" t="str">
        <f>IF($F$5="M","Concrete Pavement 290 mm","Concrete Pavement 11 1/2 inches")</f>
        <v>Concrete Pavement 11 1/2 inches</v>
      </c>
      <c r="M40" s="5">
        <f>IF($F$5="M",0.96,0.81)</f>
        <v>0.81</v>
      </c>
      <c r="N40" s="6"/>
    </row>
    <row r="41" spans="1:14" ht="12.75">
      <c r="A41" s="42"/>
      <c r="B41" s="43"/>
      <c r="C41" s="44"/>
      <c r="D41" s="44"/>
      <c r="E41" s="45"/>
      <c r="F41" s="46"/>
      <c r="G41" s="47"/>
      <c r="H41" s="47"/>
      <c r="I41" s="47"/>
      <c r="J41" s="47"/>
      <c r="K41" s="7"/>
      <c r="L41" s="4" t="str">
        <f>IF($F$5="M","Concrete Pavement 300 mm","Concrete Pavement 12 inches")</f>
        <v>Concrete Pavement 12 inches</v>
      </c>
      <c r="M41" s="5">
        <f>IF($F$5="M",0.99,0.83)</f>
        <v>0.83</v>
      </c>
      <c r="N41" s="6"/>
    </row>
    <row r="42" spans="1:14" ht="12.75">
      <c r="A42" s="42"/>
      <c r="B42" s="43"/>
      <c r="C42" s="44"/>
      <c r="D42" s="44"/>
      <c r="E42" s="45"/>
      <c r="F42" s="46"/>
      <c r="G42" s="47"/>
      <c r="H42" s="47"/>
      <c r="I42" s="47"/>
      <c r="J42" s="47"/>
      <c r="K42" s="7"/>
      <c r="L42" s="4" t="str">
        <f>IF($F$5="M","Concrete Pavement 320 mm","Concrete Pavement 12 1/2 inches")</f>
        <v>Concrete Pavement 12 1/2 inches</v>
      </c>
      <c r="M42" s="5">
        <f>IF($F$5="M",1.02,0.86)</f>
        <v>0.86</v>
      </c>
      <c r="N42" s="6"/>
    </row>
    <row r="43" spans="1:14" ht="12.75">
      <c r="A43" s="42"/>
      <c r="B43" s="43"/>
      <c r="C43" s="44"/>
      <c r="D43" s="44"/>
      <c r="E43" s="45"/>
      <c r="F43" s="46"/>
      <c r="G43" s="47"/>
      <c r="H43" s="47"/>
      <c r="I43" s="47"/>
      <c r="J43" s="47"/>
      <c r="K43" s="7"/>
      <c r="L43" s="4" t="str">
        <f>IF($F$5="M","Concrete Pavement 330 mm","Concrete Pavement 13 inches")</f>
        <v>Concrete Pavement 13 inches</v>
      </c>
      <c r="M43" s="5">
        <f>IF($F$5="M",1.06,0.89)</f>
        <v>0.89</v>
      </c>
      <c r="N43" s="6"/>
    </row>
    <row r="44" spans="1:14" ht="12.75">
      <c r="A44" s="42"/>
      <c r="B44" s="43"/>
      <c r="C44" s="44"/>
      <c r="D44" s="44"/>
      <c r="E44" s="45"/>
      <c r="F44" s="46"/>
      <c r="G44" s="47"/>
      <c r="H44" s="47"/>
      <c r="I44" s="47"/>
      <c r="J44" s="47"/>
      <c r="K44" s="7"/>
      <c r="L44" s="4" t="str">
        <f>IF($F$5="M","Concrete Pavement 340 mm","Concrete Pavement 13 1/2 inches")</f>
        <v>Concrete Pavement 13 1/2 inches</v>
      </c>
      <c r="M44" s="5">
        <f>IF($F$5="M",1.1,0.92)</f>
        <v>0.92</v>
      </c>
      <c r="N44" s="6"/>
    </row>
    <row r="45" spans="1:14" ht="12.75">
      <c r="A45" s="42"/>
      <c r="B45" s="43"/>
      <c r="C45" s="44"/>
      <c r="D45" s="44"/>
      <c r="E45" s="45"/>
      <c r="F45" s="46"/>
      <c r="G45" s="47"/>
      <c r="H45" s="47"/>
      <c r="I45" s="47"/>
      <c r="J45" s="47"/>
      <c r="K45" s="7"/>
      <c r="L45" s="4" t="str">
        <f>IF($F$5="M","Concrete Pavement 360 mm","Concrete Pavement 14 inches")</f>
        <v>Concrete Pavement 14 inches</v>
      </c>
      <c r="M45" s="5">
        <f>IF($F$5="M",1.14,0.95)</f>
        <v>0.95</v>
      </c>
      <c r="N45" s="6"/>
    </row>
    <row r="46" spans="1:14" ht="12.75">
      <c r="A46" s="48"/>
      <c r="B46" s="48"/>
      <c r="C46" s="48"/>
      <c r="D46" s="48"/>
      <c r="E46" s="49"/>
      <c r="F46" s="48"/>
      <c r="G46" s="48"/>
      <c r="H46" s="48"/>
      <c r="I46" s="48"/>
      <c r="J46" s="48"/>
      <c r="K46" s="7"/>
      <c r="L46" s="4" t="str">
        <f>IF($F$5="M","Concrete Pavement 370 mm","Concrete Pavement 14 1/2 inches")</f>
        <v>Concrete Pavement 14 1/2 inches</v>
      </c>
      <c r="M46" s="5">
        <f>IF($F$5="M",1.17,0.98)</f>
        <v>0.98</v>
      </c>
      <c r="N46" s="6"/>
    </row>
    <row r="47" spans="1:14" ht="12.75">
      <c r="A47" s="50"/>
      <c r="B47" s="50"/>
      <c r="C47" s="50"/>
      <c r="D47" s="50"/>
      <c r="E47" s="51"/>
      <c r="F47" s="50"/>
      <c r="G47" s="50"/>
      <c r="H47" s="50"/>
      <c r="I47" s="50"/>
      <c r="J47" s="50"/>
      <c r="K47" s="7"/>
      <c r="L47" s="4" t="s">
        <v>60</v>
      </c>
      <c r="M47" s="5">
        <f>IF($F$5="M",334.65,10.2)</f>
        <v>10.2</v>
      </c>
      <c r="N47" s="6"/>
    </row>
    <row r="48" spans="1:14" ht="12.75">
      <c r="A48" s="50"/>
      <c r="B48" s="50"/>
      <c r="C48" s="50"/>
      <c r="D48" s="50"/>
      <c r="E48" s="51"/>
      <c r="F48" s="50"/>
      <c r="G48" s="50"/>
      <c r="H48" s="50"/>
      <c r="I48" s="50"/>
      <c r="J48" s="50"/>
      <c r="K48" s="7"/>
      <c r="L48" s="4" t="s">
        <v>59</v>
      </c>
      <c r="M48" s="5">
        <f>IF($F$5="M",2.65,2.4)</f>
        <v>2.4</v>
      </c>
      <c r="N48" s="6"/>
    </row>
    <row r="49" spans="1:14" ht="12.75">
      <c r="A49" s="50"/>
      <c r="B49" s="50"/>
      <c r="C49" s="50"/>
      <c r="D49" s="50"/>
      <c r="E49" s="51"/>
      <c r="F49" s="50"/>
      <c r="G49" s="50"/>
      <c r="H49" s="50"/>
      <c r="I49" s="50"/>
      <c r="J49" s="50"/>
      <c r="K49" s="7"/>
      <c r="L49" s="4" t="s">
        <v>64</v>
      </c>
      <c r="M49" s="5">
        <f>IF($F$5="M",2.65,2.4)</f>
        <v>2.4</v>
      </c>
      <c r="N49" s="6"/>
    </row>
    <row r="50" spans="1:14" ht="12.75">
      <c r="A50" s="50"/>
      <c r="B50" s="50"/>
      <c r="C50" s="50"/>
      <c r="D50" s="50"/>
      <c r="E50" s="51"/>
      <c r="F50" s="50"/>
      <c r="G50" s="50"/>
      <c r="H50" s="50"/>
      <c r="I50" s="50"/>
      <c r="J50" s="50"/>
      <c r="K50" s="7"/>
      <c r="L50" s="4" t="s">
        <v>65</v>
      </c>
      <c r="M50" s="5">
        <f>IF($F$5="M",2.65,2.4)</f>
        <v>2.4</v>
      </c>
      <c r="N50" s="6"/>
    </row>
    <row r="51" spans="11:13" ht="12.75">
      <c r="K51" s="7"/>
      <c r="L51" s="4"/>
      <c r="M51" s="5"/>
    </row>
    <row r="52" spans="11:13" ht="12.75">
      <c r="K52" s="7"/>
      <c r="L52" s="6"/>
      <c r="M52" s="6"/>
    </row>
    <row r="53" spans="11:13" ht="12.75">
      <c r="K53" s="7"/>
      <c r="L53" s="37"/>
      <c r="M53" s="37"/>
    </row>
    <row r="54" spans="11:13" ht="12.75">
      <c r="K54" s="7"/>
      <c r="L54" s="37"/>
      <c r="M54" s="37"/>
    </row>
    <row r="55" spans="12:13" ht="12.75">
      <c r="L55" s="37"/>
      <c r="M55" s="37"/>
    </row>
    <row r="56" spans="12:13" ht="12.75">
      <c r="L56" s="37"/>
      <c r="M56" s="37"/>
    </row>
    <row r="57" spans="12:13" ht="12.75">
      <c r="L57" s="37"/>
      <c r="M57" s="37"/>
    </row>
    <row r="58" spans="12:13" ht="12.75">
      <c r="L58" s="37"/>
      <c r="M58" s="37"/>
    </row>
    <row r="59" spans="12:13" ht="12.75">
      <c r="L59" s="37"/>
      <c r="M59" s="37"/>
    </row>
    <row r="60" spans="12:13" ht="12.75">
      <c r="L60" s="37"/>
      <c r="M60" s="37"/>
    </row>
    <row r="61" spans="12:13" ht="12.75">
      <c r="L61" s="37"/>
      <c r="M61" s="37"/>
    </row>
    <row r="62" spans="12:13" ht="12.75">
      <c r="L62" s="37"/>
      <c r="M62" s="37"/>
    </row>
    <row r="63" spans="12:13" ht="12.75">
      <c r="L63" s="37"/>
      <c r="M63" s="37"/>
    </row>
    <row r="64" spans="12:13" ht="12.75">
      <c r="L64" s="37"/>
      <c r="M64" s="37"/>
    </row>
    <row r="65" spans="12:13" ht="12.75">
      <c r="L65" s="37"/>
      <c r="M65" s="37"/>
    </row>
    <row r="66" spans="12:13" ht="12.75">
      <c r="L66" s="37"/>
      <c r="M66" s="37"/>
    </row>
    <row r="67" spans="12:13" ht="12.75">
      <c r="L67" s="37"/>
      <c r="M67" s="37"/>
    </row>
    <row r="68" spans="12:13" ht="12.75">
      <c r="L68" s="37"/>
      <c r="M68" s="37"/>
    </row>
    <row r="69" spans="12:13" ht="12.75">
      <c r="L69" s="37"/>
      <c r="M69" s="37"/>
    </row>
    <row r="70" ht="12.75">
      <c r="L70" s="37"/>
    </row>
    <row r="71" ht="12.75">
      <c r="L71" s="37"/>
    </row>
    <row r="72" ht="12.75">
      <c r="L72" s="37"/>
    </row>
  </sheetData>
  <sheetProtection password="BF11" sheet="1" objects="1" scenarios="1" selectLockedCells="1"/>
  <mergeCells count="4">
    <mergeCell ref="F3:H3"/>
    <mergeCell ref="F4:H4"/>
    <mergeCell ref="D5:E5"/>
    <mergeCell ref="B6:E6"/>
  </mergeCells>
  <dataValidations count="1">
    <dataValidation type="list" allowBlank="1" showInputMessage="1" showErrorMessage="1" promptTitle="Data Entry Restriction!" prompt="Please select one item from this drop down box. No other values will be accepted." errorTitle="Wrong data!" error="Please enter a value from the drop down list." sqref="B6:E6">
      <formula1>$L$7:$L$50</formula1>
    </dataValidation>
  </dataValidations>
  <printOptions/>
  <pageMargins left="1.06" right="0.5" top="0.5" bottom="0" header="0.5" footer="0"/>
  <pageSetup blackAndWhite="1" fitToHeight="1" fitToWidth="1" horizontalDpi="600" verticalDpi="600" orientation="portrait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"/>
  <sheetViews>
    <sheetView showGridLines="0" showRowColHeaders="0" zoomScalePageLayoutView="0" workbookViewId="0" topLeftCell="A1">
      <selection activeCell="B6" sqref="B6:E6"/>
    </sheetView>
  </sheetViews>
  <sheetFormatPr defaultColWidth="9.140625" defaultRowHeight="12.75"/>
  <cols>
    <col min="1" max="1" width="13.00390625" style="0" customWidth="1"/>
    <col min="2" max="2" width="13.28125" style="0" customWidth="1"/>
    <col min="3" max="3" width="9.00390625" style="0" customWidth="1"/>
    <col min="4" max="4" width="9.28125" style="0" customWidth="1"/>
    <col min="5" max="5" width="11.00390625" style="1" customWidth="1"/>
    <col min="6" max="6" width="10.57421875" style="0" customWidth="1"/>
    <col min="7" max="8" width="16.00390625" style="0" bestFit="1" customWidth="1"/>
    <col min="11" max="11" width="3.57421875" style="0" customWidth="1"/>
    <col min="12" max="12" width="47.00390625" style="0" hidden="1" customWidth="1"/>
    <col min="13" max="13" width="8.28125" style="0" hidden="1" customWidth="1"/>
    <col min="14" max="14" width="7.140625" style="0" customWidth="1"/>
    <col min="15" max="16" width="9.140625" style="0" customWidth="1"/>
  </cols>
  <sheetData>
    <row r="1" spans="1:16" ht="15">
      <c r="A1" s="8"/>
      <c r="B1" s="8"/>
      <c r="C1" s="9" t="s">
        <v>67</v>
      </c>
      <c r="D1" s="8"/>
      <c r="E1" s="10"/>
      <c r="F1" s="8"/>
      <c r="G1" s="8"/>
      <c r="H1" s="8"/>
      <c r="I1" s="52"/>
      <c r="J1" s="52"/>
      <c r="K1" s="50"/>
      <c r="L1" s="50"/>
      <c r="M1" s="50"/>
      <c r="N1" s="50"/>
      <c r="O1" s="50"/>
      <c r="P1" s="50"/>
    </row>
    <row r="2" spans="1:16" ht="17.25" customHeight="1">
      <c r="A2" s="8"/>
      <c r="B2" s="8"/>
      <c r="C2" s="8"/>
      <c r="D2" s="8"/>
      <c r="E2" s="10"/>
      <c r="F2" s="8"/>
      <c r="G2" s="8"/>
      <c r="H2" s="8"/>
      <c r="I2" s="52"/>
      <c r="J2" s="52"/>
      <c r="K2" s="50"/>
      <c r="L2" s="50"/>
      <c r="M2" s="50"/>
      <c r="N2" s="50"/>
      <c r="O2" s="50"/>
      <c r="P2" s="50"/>
    </row>
    <row r="3" spans="1:16" ht="21" customHeight="1">
      <c r="A3" s="11"/>
      <c r="B3" s="12"/>
      <c r="C3" s="11"/>
      <c r="D3" s="11"/>
      <c r="E3" s="63" t="s">
        <v>42</v>
      </c>
      <c r="F3" s="97">
        <f>IF('Item 1'!F3:H3="","",'Item 1'!F3:H3)</f>
      </c>
      <c r="G3" s="97"/>
      <c r="H3" s="97"/>
      <c r="I3" s="53"/>
      <c r="J3" s="53"/>
      <c r="K3" s="50"/>
      <c r="L3" s="50"/>
      <c r="M3" s="50"/>
      <c r="N3" s="50"/>
      <c r="O3" s="50"/>
      <c r="P3" s="50"/>
    </row>
    <row r="4" spans="1:16" ht="21" customHeight="1">
      <c r="A4" s="13" t="s">
        <v>43</v>
      </c>
      <c r="B4" s="82">
        <f>IF('Item 1'!B4="","",'Item 1'!B4)</f>
      </c>
      <c r="C4" s="38"/>
      <c r="D4" s="11"/>
      <c r="E4" s="64" t="s">
        <v>41</v>
      </c>
      <c r="F4" s="98">
        <f>IF('Item 1'!F4:H4="","",'Item 1'!F4:H4)</f>
      </c>
      <c r="G4" s="99"/>
      <c r="H4" s="100"/>
      <c r="I4" s="53"/>
      <c r="J4" s="53"/>
      <c r="K4" s="50"/>
      <c r="L4" s="57"/>
      <c r="M4" s="50"/>
      <c r="N4" s="50"/>
      <c r="O4" s="50"/>
      <c r="P4" s="50"/>
    </row>
    <row r="5" spans="1:16" ht="21" customHeight="1">
      <c r="A5" s="79" t="s">
        <v>44</v>
      </c>
      <c r="B5" s="15"/>
      <c r="C5" s="81">
        <f>IF('Item 1'!C5="","",'Item 1'!C5)</f>
      </c>
      <c r="D5" s="95" t="s">
        <v>46</v>
      </c>
      <c r="E5" s="96"/>
      <c r="F5" s="80">
        <f>IF('Item 1'!F5="","",'Item 1'!F5)</f>
      </c>
      <c r="G5" s="65" t="s">
        <v>45</v>
      </c>
      <c r="H5" s="60">
        <f>IF(B6="","",VLOOKUP(B6,L7:M50,2,FALSE))</f>
      </c>
      <c r="I5" s="53"/>
      <c r="J5" s="53"/>
      <c r="K5" s="4"/>
      <c r="L5" s="56"/>
      <c r="N5" s="4"/>
      <c r="O5" s="50"/>
      <c r="P5" s="50"/>
    </row>
    <row r="6" spans="1:16" ht="21" customHeight="1">
      <c r="A6" s="79" t="s">
        <v>20</v>
      </c>
      <c r="B6" s="88"/>
      <c r="C6" s="89"/>
      <c r="D6" s="89"/>
      <c r="E6" s="90"/>
      <c r="F6" s="58"/>
      <c r="H6" s="59"/>
      <c r="I6" s="53"/>
      <c r="J6" s="53"/>
      <c r="K6" s="4"/>
      <c r="L6" s="4" t="s">
        <v>21</v>
      </c>
      <c r="M6" s="4" t="s">
        <v>37</v>
      </c>
      <c r="O6" s="50"/>
      <c r="P6" s="4"/>
    </row>
    <row r="7" spans="1:16" ht="12.75">
      <c r="A7" s="11"/>
      <c r="B7" s="11"/>
      <c r="C7" s="17"/>
      <c r="D7" s="11"/>
      <c r="E7" s="7"/>
      <c r="F7" s="11"/>
      <c r="G7" s="11"/>
      <c r="H7" s="11"/>
      <c r="I7" s="53"/>
      <c r="J7" s="53"/>
      <c r="K7" s="4"/>
      <c r="L7" s="4" t="s">
        <v>22</v>
      </c>
      <c r="M7" s="5">
        <f>IF($F$5="M",0.33,0.25)</f>
        <v>0.25</v>
      </c>
      <c r="O7" s="50"/>
      <c r="P7" s="5"/>
    </row>
    <row r="8" spans="1:16" ht="12.75">
      <c r="A8" s="18" t="s">
        <v>0</v>
      </c>
      <c r="B8" s="18" t="s">
        <v>18</v>
      </c>
      <c r="C8" s="19" t="s">
        <v>2</v>
      </c>
      <c r="D8" s="18" t="s">
        <v>5</v>
      </c>
      <c r="E8" s="20" t="s">
        <v>8</v>
      </c>
      <c r="F8" s="18" t="s">
        <v>10</v>
      </c>
      <c r="G8" s="18" t="s">
        <v>13</v>
      </c>
      <c r="H8" s="18" t="s">
        <v>8</v>
      </c>
      <c r="I8" s="54"/>
      <c r="J8" s="54"/>
      <c r="K8" s="4"/>
      <c r="L8" s="4" t="s">
        <v>61</v>
      </c>
      <c r="M8" s="5">
        <f>IF($F$5="M",0.33,0.25)</f>
        <v>0.25</v>
      </c>
      <c r="O8" s="50"/>
      <c r="P8" s="5"/>
    </row>
    <row r="9" spans="1:16" ht="12.75">
      <c r="A9" s="21"/>
      <c r="B9" s="22" t="s">
        <v>16</v>
      </c>
      <c r="C9" s="22" t="s">
        <v>3</v>
      </c>
      <c r="D9" s="22" t="s">
        <v>6</v>
      </c>
      <c r="E9" s="23"/>
      <c r="F9" s="22" t="s">
        <v>11</v>
      </c>
      <c r="G9" s="22" t="s">
        <v>14</v>
      </c>
      <c r="H9" s="22" t="s">
        <v>9</v>
      </c>
      <c r="I9" s="54"/>
      <c r="J9" s="54"/>
      <c r="K9" s="4"/>
      <c r="L9" s="4" t="s">
        <v>19</v>
      </c>
      <c r="M9" s="5">
        <f>IF($F$5="M",0.43,0.33)</f>
        <v>0.33</v>
      </c>
      <c r="O9" s="50"/>
      <c r="P9" s="5"/>
    </row>
    <row r="10" spans="1:16" ht="12.75">
      <c r="A10" s="24" t="s">
        <v>1</v>
      </c>
      <c r="B10" s="24" t="s">
        <v>17</v>
      </c>
      <c r="C10" s="24" t="s">
        <v>4</v>
      </c>
      <c r="D10" s="24" t="s">
        <v>7</v>
      </c>
      <c r="E10" s="25" t="s">
        <v>9</v>
      </c>
      <c r="F10" s="24" t="s">
        <v>12</v>
      </c>
      <c r="G10" s="24" t="s">
        <v>15</v>
      </c>
      <c r="H10" s="24" t="s">
        <v>15</v>
      </c>
      <c r="I10" s="54"/>
      <c r="J10" s="54"/>
      <c r="K10" s="4"/>
      <c r="L10" s="4" t="s">
        <v>62</v>
      </c>
      <c r="M10" s="5">
        <f>IF($F$5="M",0.43,0.33)</f>
        <v>0.33</v>
      </c>
      <c r="O10" s="50"/>
      <c r="P10" s="5"/>
    </row>
    <row r="11" spans="1:16" ht="22.5" customHeight="1">
      <c r="A11" s="26"/>
      <c r="B11" s="27"/>
      <c r="C11" s="61">
        <f>IF(H5="","",ABS($H$5))</f>
      </c>
      <c r="D11" s="28"/>
      <c r="E11" s="29">
        <f>IF(D11="","",+D11)</f>
      </c>
      <c r="F11" s="30">
        <f>+IF(B11="","",(B11-$C$5))</f>
      </c>
      <c r="G11" s="62">
        <f>IF(C11="","",IF(F11="","",+C11*D11*F11))</f>
      </c>
      <c r="H11" s="62">
        <f>+G11</f>
      </c>
      <c r="I11" s="54"/>
      <c r="J11" s="54"/>
      <c r="K11" s="4"/>
      <c r="L11" s="4" t="s">
        <v>24</v>
      </c>
      <c r="M11" s="5">
        <f>IF($F$5="M",0.38,0.29)</f>
        <v>0.29</v>
      </c>
      <c r="O11" s="50"/>
      <c r="P11" s="5"/>
    </row>
    <row r="12" spans="1:16" ht="22.5" customHeight="1">
      <c r="A12" s="26"/>
      <c r="B12" s="31"/>
      <c r="C12" s="61">
        <f>IF(B12="","",ABS($H$5))</f>
      </c>
      <c r="D12" s="16"/>
      <c r="E12" s="29">
        <f>IF(D12="","",+D12+E11)</f>
      </c>
      <c r="F12" s="30">
        <f aca="true" t="shared" si="0" ref="F12:F38">+IF(B12="","",(B12-$C$5))</f>
      </c>
      <c r="G12" s="62">
        <f>IF(C12="","",IF(F12="","",+C12*D12*F12))</f>
      </c>
      <c r="H12" s="62">
        <f>IF(G12="","",+H11+G12)</f>
      </c>
      <c r="I12" s="55"/>
      <c r="J12" s="55"/>
      <c r="K12" s="4"/>
      <c r="L12" s="4" t="s">
        <v>25</v>
      </c>
      <c r="M12" s="5">
        <f>IF($F$5="M",0.39,0.3)</f>
        <v>0.3</v>
      </c>
      <c r="O12" s="50"/>
      <c r="P12" s="5"/>
    </row>
    <row r="13" spans="1:16" ht="22.5" customHeight="1">
      <c r="A13" s="26"/>
      <c r="B13" s="31"/>
      <c r="C13" s="61">
        <f aca="true" t="shared" si="1" ref="C13:C38">IF(B13="","",ABS($H$5))</f>
      </c>
      <c r="D13" s="16"/>
      <c r="E13" s="29">
        <f aca="true" t="shared" si="2" ref="E13:E38">IF(D13="","",+D13+E12)</f>
      </c>
      <c r="F13" s="30">
        <f t="shared" si="0"/>
      </c>
      <c r="G13" s="62">
        <f>IF(C13="","",IF(F13="","",+C13*D13*F13))</f>
      </c>
      <c r="H13" s="62">
        <f aca="true" t="shared" si="3" ref="H13:H38">IF(G13="","",+H12+G13)</f>
      </c>
      <c r="I13" s="55"/>
      <c r="J13" s="55"/>
      <c r="K13" s="4"/>
      <c r="L13" s="4" t="s">
        <v>63</v>
      </c>
      <c r="M13" s="5">
        <f>IF($F$5="M",0.36,0.3)</f>
        <v>0.3</v>
      </c>
      <c r="O13" s="50"/>
      <c r="P13" s="5"/>
    </row>
    <row r="14" spans="1:16" ht="22.5" customHeight="1">
      <c r="A14" s="26"/>
      <c r="B14" s="31"/>
      <c r="C14" s="61">
        <f t="shared" si="1"/>
      </c>
      <c r="D14" s="16"/>
      <c r="E14" s="29">
        <f t="shared" si="2"/>
      </c>
      <c r="F14" s="30">
        <f t="shared" si="0"/>
      </c>
      <c r="G14" s="62">
        <f>IF(C14="","",IF(F14="","",+C14*D14*F14))</f>
      </c>
      <c r="H14" s="62">
        <f t="shared" si="3"/>
      </c>
      <c r="I14" s="55"/>
      <c r="J14" s="55"/>
      <c r="K14" s="66"/>
      <c r="L14" s="4" t="str">
        <f>IF($F$5="M","Concrete Placement:  75mm","Concrete Placement:  3 inches")</f>
        <v>Concrete Placement:  3 inches</v>
      </c>
      <c r="M14" s="5">
        <f>IF($F$5="M",0.36,0.3)</f>
        <v>0.3</v>
      </c>
      <c r="O14" s="50"/>
      <c r="P14" s="67"/>
    </row>
    <row r="15" spans="1:16" ht="22.5" customHeight="1">
      <c r="A15" s="26"/>
      <c r="B15" s="31"/>
      <c r="C15" s="61">
        <f t="shared" si="1"/>
      </c>
      <c r="D15" s="16"/>
      <c r="E15" s="29">
        <f t="shared" si="2"/>
      </c>
      <c r="F15" s="30">
        <f t="shared" si="0"/>
      </c>
      <c r="G15" s="62">
        <f>IF(C15="","",IF(F15="","",+C15*D15*F15))</f>
      </c>
      <c r="H15" s="62">
        <f t="shared" si="3"/>
      </c>
      <c r="I15" s="55"/>
      <c r="J15" s="55"/>
      <c r="K15" s="66"/>
      <c r="L15" s="4" t="str">
        <f>IF($F$5="M","","Concrete Placement:  3.5 inches")</f>
        <v>Concrete Placement:  3.5 inches</v>
      </c>
      <c r="M15" s="5">
        <f>IF($F$5="M",0.39,0.33)</f>
        <v>0.33</v>
      </c>
      <c r="O15" s="50"/>
      <c r="P15" s="67"/>
    </row>
    <row r="16" spans="1:16" ht="22.5" customHeight="1">
      <c r="A16" s="26"/>
      <c r="B16" s="31"/>
      <c r="C16" s="61">
        <f t="shared" si="1"/>
      </c>
      <c r="D16" s="16"/>
      <c r="E16" s="29">
        <f t="shared" si="2"/>
      </c>
      <c r="F16" s="30">
        <f t="shared" si="0"/>
      </c>
      <c r="G16" s="62">
        <f aca="true" t="shared" si="4" ref="G16:G38">IF(F16="","",+C16*D16*F16)</f>
      </c>
      <c r="H16" s="62">
        <f t="shared" si="3"/>
      </c>
      <c r="I16" s="55"/>
      <c r="J16" s="55"/>
      <c r="K16" s="4"/>
      <c r="L16" s="4" t="str">
        <f>IF($F$5="M","Concrete Placement:  100mm","Concrete Placement:  4 inches")</f>
        <v>Concrete Placement:  4 inches</v>
      </c>
      <c r="M16" s="5">
        <f>IF($F$5="M",0.43,0.36)</f>
        <v>0.36</v>
      </c>
      <c r="O16" s="50"/>
      <c r="P16" s="5"/>
    </row>
    <row r="17" spans="1:16" ht="22.5" customHeight="1">
      <c r="A17" s="26"/>
      <c r="B17" s="31"/>
      <c r="C17" s="61">
        <f t="shared" si="1"/>
      </c>
      <c r="D17" s="16"/>
      <c r="E17" s="29">
        <f t="shared" si="2"/>
      </c>
      <c r="F17" s="30">
        <f t="shared" si="0"/>
      </c>
      <c r="G17" s="62">
        <f t="shared" si="4"/>
      </c>
      <c r="H17" s="62">
        <f t="shared" si="3"/>
      </c>
      <c r="I17" s="55"/>
      <c r="J17" s="55"/>
      <c r="K17" s="66"/>
      <c r="L17" s="4" t="str">
        <f>IF($F$5="M","","Concrete Placement:  4.5 inches")</f>
        <v>Concrete Placement:  4.5 inches</v>
      </c>
      <c r="M17" s="5">
        <f>IF($F$5="M",0.46,0.39)</f>
        <v>0.39</v>
      </c>
      <c r="O17" s="50"/>
      <c r="P17" s="67"/>
    </row>
    <row r="18" spans="1:16" ht="22.5" customHeight="1">
      <c r="A18" s="26"/>
      <c r="B18" s="31"/>
      <c r="C18" s="61">
        <f t="shared" si="1"/>
      </c>
      <c r="D18" s="16"/>
      <c r="E18" s="29">
        <f t="shared" si="2"/>
      </c>
      <c r="F18" s="30">
        <f t="shared" si="0"/>
      </c>
      <c r="G18" s="62">
        <f t="shared" si="4"/>
      </c>
      <c r="H18" s="62">
        <f t="shared" si="3"/>
      </c>
      <c r="I18" s="55"/>
      <c r="J18" s="55"/>
      <c r="K18" s="4"/>
      <c r="L18" s="4" t="str">
        <f>IF($F$5="M","Concrete Placement:  140mm","Concrete Placement:  5 inches")</f>
        <v>Concrete Placement:  5 inches</v>
      </c>
      <c r="M18" s="5">
        <f>IF($F$5="M",0.5,0.42)</f>
        <v>0.42</v>
      </c>
      <c r="O18" s="50"/>
      <c r="P18" s="5"/>
    </row>
    <row r="19" spans="1:16" ht="22.5" customHeight="1">
      <c r="A19" s="26"/>
      <c r="B19" s="31"/>
      <c r="C19" s="61">
        <f t="shared" si="1"/>
      </c>
      <c r="D19" s="16"/>
      <c r="E19" s="29">
        <f t="shared" si="2"/>
      </c>
      <c r="F19" s="30">
        <f t="shared" si="0"/>
      </c>
      <c r="G19" s="62">
        <f t="shared" si="4"/>
      </c>
      <c r="H19" s="62">
        <f t="shared" si="3"/>
      </c>
      <c r="I19" s="55"/>
      <c r="J19" s="55"/>
      <c r="K19" s="66"/>
      <c r="L19" s="4" t="str">
        <f>IF($F$5="M","","Concrete Placement:  5.5 inches")</f>
        <v>Concrete Placement:  5.5 inches</v>
      </c>
      <c r="M19" s="5">
        <f>IF($F$5="M",0.53,0.45)</f>
        <v>0.45</v>
      </c>
      <c r="O19" s="50"/>
      <c r="P19" s="67"/>
    </row>
    <row r="20" spans="1:16" ht="21" customHeight="1">
      <c r="A20" s="26"/>
      <c r="B20" s="31"/>
      <c r="C20" s="61">
        <f t="shared" si="1"/>
      </c>
      <c r="D20" s="16"/>
      <c r="E20" s="29">
        <f t="shared" si="2"/>
      </c>
      <c r="F20" s="30">
        <f t="shared" si="0"/>
      </c>
      <c r="G20" s="62">
        <f t="shared" si="4"/>
      </c>
      <c r="H20" s="62">
        <f t="shared" si="3"/>
      </c>
      <c r="I20" s="55"/>
      <c r="J20" s="55"/>
      <c r="K20" s="4"/>
      <c r="L20" s="4" t="str">
        <f>IF($F$5="M","Concrete Placement:  160mm","Concrete Placement:  6 inches")</f>
        <v>Concrete Placement:  6 inches</v>
      </c>
      <c r="M20" s="5">
        <f>IF($F$5="M",0.57,0.48)</f>
        <v>0.48</v>
      </c>
      <c r="O20" s="50"/>
      <c r="P20" s="5"/>
    </row>
    <row r="21" spans="1:16" ht="21" customHeight="1">
      <c r="A21" s="26"/>
      <c r="B21" s="31"/>
      <c r="C21" s="61">
        <f t="shared" si="1"/>
      </c>
      <c r="D21" s="16"/>
      <c r="E21" s="29">
        <f t="shared" si="2"/>
      </c>
      <c r="F21" s="30">
        <f t="shared" si="0"/>
      </c>
      <c r="G21" s="62">
        <f t="shared" si="4"/>
      </c>
      <c r="H21" s="62">
        <f t="shared" si="3"/>
      </c>
      <c r="I21" s="55"/>
      <c r="J21" s="55"/>
      <c r="K21" s="66"/>
      <c r="L21" s="4" t="str">
        <f>IF($F$5="M","Bonded Concrete Pavement (75mm)","Bonded Concrete Pavement (3 inches)")</f>
        <v>Bonded Concrete Pavement (3 inches)</v>
      </c>
      <c r="M21" s="5">
        <f>IF($F$5="M",0.36,0.3)</f>
        <v>0.3</v>
      </c>
      <c r="O21" s="50"/>
      <c r="P21" s="67"/>
    </row>
    <row r="22" spans="1:16" ht="21" customHeight="1">
      <c r="A22" s="26"/>
      <c r="B22" s="31"/>
      <c r="C22" s="61">
        <f t="shared" si="1"/>
      </c>
      <c r="D22" s="16"/>
      <c r="E22" s="29">
        <f t="shared" si="2"/>
      </c>
      <c r="F22" s="30">
        <f t="shared" si="0"/>
      </c>
      <c r="G22" s="62">
        <f t="shared" si="4"/>
      </c>
      <c r="H22" s="62">
        <f t="shared" si="3"/>
      </c>
      <c r="I22" s="55"/>
      <c r="J22" s="55"/>
      <c r="K22" s="4"/>
      <c r="L22" s="4" t="str">
        <f>IF($F$5="M","","Bonded Concrete Pavement (3.5 inches)")</f>
        <v>Bonded Concrete Pavement (3.5 inches)</v>
      </c>
      <c r="M22" s="5">
        <f>IF($F$5="M",0.39,0.33)</f>
        <v>0.33</v>
      </c>
      <c r="O22" s="50"/>
      <c r="P22" s="5"/>
    </row>
    <row r="23" spans="1:16" ht="22.5" customHeight="1">
      <c r="A23" s="26"/>
      <c r="B23" s="31"/>
      <c r="C23" s="61">
        <f t="shared" si="1"/>
      </c>
      <c r="D23" s="16"/>
      <c r="E23" s="29">
        <f t="shared" si="2"/>
      </c>
      <c r="F23" s="30">
        <f t="shared" si="0"/>
      </c>
      <c r="G23" s="62">
        <f t="shared" si="4"/>
      </c>
      <c r="H23" s="62">
        <f t="shared" si="3"/>
      </c>
      <c r="I23" s="55"/>
      <c r="J23" s="55"/>
      <c r="K23" s="66"/>
      <c r="L23" s="4" t="str">
        <f>IF($F$5="M","Bonded Concrete Pavement (100mm)","Bonded Concrete Pavement (4 inches)")</f>
        <v>Bonded Concrete Pavement (4 inches)</v>
      </c>
      <c r="M23" s="5">
        <f>IF($F$5="M",0.43,0.36)</f>
        <v>0.36</v>
      </c>
      <c r="O23" s="50"/>
      <c r="P23" s="67"/>
    </row>
    <row r="24" spans="1:16" ht="22.5" customHeight="1">
      <c r="A24" s="26"/>
      <c r="B24" s="31"/>
      <c r="C24" s="61">
        <f t="shared" si="1"/>
      </c>
      <c r="D24" s="16"/>
      <c r="E24" s="29">
        <f t="shared" si="2"/>
      </c>
      <c r="F24" s="30">
        <f t="shared" si="0"/>
      </c>
      <c r="G24" s="62">
        <f t="shared" si="4"/>
      </c>
      <c r="H24" s="62">
        <f t="shared" si="3"/>
      </c>
      <c r="I24" s="55"/>
      <c r="J24" s="55"/>
      <c r="K24" s="4"/>
      <c r="L24" s="4" t="str">
        <f>IF($F$5="M","","Bonded Concrete Pavement (4.5 inches)")</f>
        <v>Bonded Concrete Pavement (4.5 inches)</v>
      </c>
      <c r="M24" s="5">
        <f>IF($F$5="M",0.46,0.39)</f>
        <v>0.39</v>
      </c>
      <c r="O24" s="50"/>
      <c r="P24" s="5"/>
    </row>
    <row r="25" spans="1:16" ht="22.5" customHeight="1">
      <c r="A25" s="26"/>
      <c r="B25" s="31"/>
      <c r="C25" s="61">
        <f t="shared" si="1"/>
      </c>
      <c r="D25" s="16"/>
      <c r="E25" s="29">
        <f t="shared" si="2"/>
      </c>
      <c r="F25" s="30">
        <f t="shared" si="0"/>
      </c>
      <c r="G25" s="62">
        <f t="shared" si="4"/>
      </c>
      <c r="H25" s="62">
        <f t="shared" si="3"/>
      </c>
      <c r="I25" s="55"/>
      <c r="J25" s="55"/>
      <c r="K25" s="66"/>
      <c r="L25" s="4" t="str">
        <f>IF($F$5="M","Bonded Concrete Pavement (140mm)","Bonded Concrete Pavement (5 inches)")</f>
        <v>Bonded Concrete Pavement (5 inches)</v>
      </c>
      <c r="M25" s="5">
        <f>IF($F$5="M",0.5,0.42)</f>
        <v>0.42</v>
      </c>
      <c r="O25" s="50"/>
      <c r="P25" s="67"/>
    </row>
    <row r="26" spans="1:16" ht="22.5" customHeight="1">
      <c r="A26" s="26"/>
      <c r="B26" s="31"/>
      <c r="C26" s="61">
        <f t="shared" si="1"/>
      </c>
      <c r="D26" s="16"/>
      <c r="E26" s="29">
        <f t="shared" si="2"/>
      </c>
      <c r="F26" s="30">
        <f t="shared" si="0"/>
      </c>
      <c r="G26" s="62">
        <f t="shared" si="4"/>
      </c>
      <c r="H26" s="62">
        <f t="shared" si="3"/>
      </c>
      <c r="I26" s="55"/>
      <c r="J26" s="55"/>
      <c r="K26" s="4"/>
      <c r="L26" s="4" t="str">
        <f>IF($F$5="M","","Bonded Concrete Pavement (5.5 inches)")</f>
        <v>Bonded Concrete Pavement (5.5 inches)</v>
      </c>
      <c r="M26" s="5">
        <f>IF($F$5="M",0.53,0.45)</f>
        <v>0.45</v>
      </c>
      <c r="O26" s="50"/>
      <c r="P26" s="5"/>
    </row>
    <row r="27" spans="1:16" ht="22.5" customHeight="1">
      <c r="A27" s="26"/>
      <c r="B27" s="31"/>
      <c r="C27" s="61">
        <f t="shared" si="1"/>
      </c>
      <c r="D27" s="16"/>
      <c r="E27" s="29">
        <f t="shared" si="2"/>
      </c>
      <c r="F27" s="30">
        <f t="shared" si="0"/>
      </c>
      <c r="G27" s="62">
        <f t="shared" si="4"/>
      </c>
      <c r="H27" s="62">
        <f t="shared" si="3"/>
      </c>
      <c r="I27" s="55"/>
      <c r="J27" s="55"/>
      <c r="K27" s="66"/>
      <c r="L27" s="4" t="str">
        <f>IF($F$5="M","Bonded Concrete Pavement (160mm)","Bonded Concrete Pavement (6 inches)")</f>
        <v>Bonded Concrete Pavement (6 inches)</v>
      </c>
      <c r="M27" s="5">
        <f>IF($F$5="M",0.57,0.48)</f>
        <v>0.48</v>
      </c>
      <c r="O27" s="50"/>
      <c r="P27" s="67"/>
    </row>
    <row r="28" spans="1:16" ht="22.5" customHeight="1">
      <c r="A28" s="26"/>
      <c r="B28" s="31"/>
      <c r="C28" s="61">
        <f t="shared" si="1"/>
      </c>
      <c r="D28" s="16"/>
      <c r="E28" s="29">
        <f t="shared" si="2"/>
      </c>
      <c r="F28" s="30">
        <f t="shared" si="0"/>
      </c>
      <c r="G28" s="62">
        <f t="shared" si="4"/>
      </c>
      <c r="H28" s="62">
        <f t="shared" si="3"/>
      </c>
      <c r="I28" s="55"/>
      <c r="J28" s="55"/>
      <c r="K28" s="4"/>
      <c r="L28" s="4" t="str">
        <f>IF($F$5="M","Concrete Pavement 160 mm","Concrete Pavement 6 inches")</f>
        <v>Concrete Pavement 6 inches</v>
      </c>
      <c r="M28" s="5">
        <f>IF($F$5="M",0.58,0.48)</f>
        <v>0.48</v>
      </c>
      <c r="O28" s="50"/>
      <c r="P28" s="5"/>
    </row>
    <row r="29" spans="1:16" ht="22.5" customHeight="1">
      <c r="A29" s="26"/>
      <c r="B29" s="31"/>
      <c r="C29" s="61">
        <f t="shared" si="1"/>
      </c>
      <c r="D29" s="16"/>
      <c r="E29" s="29">
        <f t="shared" si="2"/>
      </c>
      <c r="F29" s="30">
        <f t="shared" si="0"/>
      </c>
      <c r="G29" s="62">
        <f t="shared" si="4"/>
      </c>
      <c r="H29" s="62">
        <f t="shared" si="3"/>
      </c>
      <c r="I29" s="55"/>
      <c r="J29" s="55"/>
      <c r="K29" s="4"/>
      <c r="L29" s="4" t="str">
        <f>IF($F$5="M","","Concrete Pavement 6.5 inches")</f>
        <v>Concrete Pavement 6.5 inches</v>
      </c>
      <c r="M29" s="5">
        <f>IF($F$5="M",0.61,0.51)</f>
        <v>0.51</v>
      </c>
      <c r="O29" s="50"/>
      <c r="P29" s="5"/>
    </row>
    <row r="30" spans="1:16" ht="22.5" customHeight="1">
      <c r="A30" s="26"/>
      <c r="B30" s="31"/>
      <c r="C30" s="61">
        <f t="shared" si="1"/>
      </c>
      <c r="D30" s="16"/>
      <c r="E30" s="29">
        <f t="shared" si="2"/>
      </c>
      <c r="F30" s="30">
        <f t="shared" si="0"/>
      </c>
      <c r="G30" s="62">
        <f t="shared" si="4"/>
      </c>
      <c r="H30" s="62">
        <f t="shared" si="3"/>
      </c>
      <c r="I30" s="55"/>
      <c r="J30" s="55"/>
      <c r="K30" s="4"/>
      <c r="L30" s="4" t="str">
        <f>IF($F$5="M","Concrete Pavement 180 mm","Concrete Pavement 7 inches")</f>
        <v>Concrete Pavement 7 inches</v>
      </c>
      <c r="M30" s="5">
        <f>IF($F$5="M",0.65,0.54)</f>
        <v>0.54</v>
      </c>
      <c r="O30" s="50"/>
      <c r="P30" s="5"/>
    </row>
    <row r="31" spans="1:16" ht="22.5" customHeight="1">
      <c r="A31" s="26"/>
      <c r="B31" s="31"/>
      <c r="C31" s="61">
        <f t="shared" si="1"/>
      </c>
      <c r="D31" s="16"/>
      <c r="E31" s="29">
        <f t="shared" si="2"/>
      </c>
      <c r="F31" s="30">
        <f t="shared" si="0"/>
      </c>
      <c r="G31" s="62">
        <f t="shared" si="4"/>
      </c>
      <c r="H31" s="62">
        <f t="shared" si="3"/>
      </c>
      <c r="I31" s="55"/>
      <c r="J31" s="55"/>
      <c r="K31" s="4"/>
      <c r="L31" s="4" t="str">
        <f>IF($F$5="M","Concrete Pavement 190 mm","Concrete Pavement 7.5 inches")</f>
        <v>Concrete Pavement 7.5 inches</v>
      </c>
      <c r="M31" s="5">
        <f>IF($F$5="M",0.69,0.57)</f>
        <v>0.57</v>
      </c>
      <c r="O31" s="50"/>
      <c r="P31" s="5"/>
    </row>
    <row r="32" spans="1:16" ht="22.5" customHeight="1">
      <c r="A32" s="26"/>
      <c r="B32" s="31"/>
      <c r="C32" s="61">
        <f t="shared" si="1"/>
      </c>
      <c r="D32" s="16"/>
      <c r="E32" s="29">
        <f t="shared" si="2"/>
      </c>
      <c r="F32" s="30">
        <f t="shared" si="0"/>
      </c>
      <c r="G32" s="62">
        <f t="shared" si="4"/>
      </c>
      <c r="H32" s="62">
        <f t="shared" si="3"/>
      </c>
      <c r="I32" s="55"/>
      <c r="J32" s="55"/>
      <c r="K32" s="4"/>
      <c r="L32" s="4" t="str">
        <f>IF($F$5="M","Concrete Pavement 200 mm","Concrete Pavement 8 inches")</f>
        <v>Concrete Pavement 8 inches</v>
      </c>
      <c r="M32" s="5">
        <f>IF($F$5="M",0.72,0.6)</f>
        <v>0.6</v>
      </c>
      <c r="O32" s="50"/>
      <c r="P32" s="5"/>
    </row>
    <row r="33" spans="1:16" ht="22.5" customHeight="1">
      <c r="A33" s="26"/>
      <c r="B33" s="31"/>
      <c r="C33" s="61">
        <f t="shared" si="1"/>
      </c>
      <c r="D33" s="16"/>
      <c r="E33" s="29">
        <f t="shared" si="2"/>
      </c>
      <c r="F33" s="30">
        <f t="shared" si="0"/>
      </c>
      <c r="G33" s="62">
        <f t="shared" si="4"/>
      </c>
      <c r="H33" s="62">
        <f t="shared" si="3"/>
      </c>
      <c r="I33" s="55"/>
      <c r="J33" s="55"/>
      <c r="K33" s="6"/>
      <c r="L33" s="4" t="str">
        <f>IF($F$5="M","Concrete Pavement 220 mm","Concrete Pavement 8 1/2 inches")</f>
        <v>Concrete Pavement 8 1/2 inches</v>
      </c>
      <c r="M33" s="5">
        <f>IF($F$5="M",0.76,0.63)</f>
        <v>0.63</v>
      </c>
      <c r="N33" s="6"/>
      <c r="O33" s="50"/>
      <c r="P33" s="50"/>
    </row>
    <row r="34" spans="1:16" ht="22.5" customHeight="1">
      <c r="A34" s="26"/>
      <c r="B34" s="31"/>
      <c r="C34" s="61">
        <f t="shared" si="1"/>
      </c>
      <c r="D34" s="16"/>
      <c r="E34" s="29">
        <f t="shared" si="2"/>
      </c>
      <c r="F34" s="30">
        <f t="shared" si="0"/>
      </c>
      <c r="G34" s="62">
        <f t="shared" si="4"/>
      </c>
      <c r="H34" s="62">
        <f t="shared" si="3"/>
      </c>
      <c r="I34" s="55"/>
      <c r="J34" s="55"/>
      <c r="K34" s="7"/>
      <c r="L34" s="4" t="str">
        <f>IF($F$5="M","Concrete Pavement 230 mm","Concrete Pavement 9 inches")</f>
        <v>Concrete Pavement 9 inches</v>
      </c>
      <c r="M34" s="5">
        <f>IF($F$5="M",0.79,0.66)</f>
        <v>0.66</v>
      </c>
      <c r="N34" s="6"/>
      <c r="O34" s="50"/>
      <c r="P34" s="50"/>
    </row>
    <row r="35" spans="1:16" ht="22.5" customHeight="1">
      <c r="A35" s="26"/>
      <c r="B35" s="31"/>
      <c r="C35" s="61">
        <f t="shared" si="1"/>
      </c>
      <c r="D35" s="16"/>
      <c r="E35" s="29">
        <f t="shared" si="2"/>
      </c>
      <c r="F35" s="30">
        <f t="shared" si="0"/>
      </c>
      <c r="G35" s="62">
        <f t="shared" si="4"/>
      </c>
      <c r="H35" s="62">
        <f t="shared" si="3"/>
      </c>
      <c r="I35" s="55"/>
      <c r="J35" s="55"/>
      <c r="K35" s="7"/>
      <c r="L35" s="4" t="str">
        <f>IF($F$5="M","Concrete Pavement 240 mm","Concrete Pavement 9 1/2 inches")</f>
        <v>Concrete Pavement 9 1/2 inches</v>
      </c>
      <c r="M35" s="5">
        <f>IF($F$5="M",0.82,0.69)</f>
        <v>0.69</v>
      </c>
      <c r="N35" s="6"/>
      <c r="O35" s="50"/>
      <c r="P35" s="50"/>
    </row>
    <row r="36" spans="1:16" ht="22.5" customHeight="1">
      <c r="A36" s="26"/>
      <c r="B36" s="31"/>
      <c r="C36" s="61">
        <f t="shared" si="1"/>
      </c>
      <c r="D36" s="16"/>
      <c r="E36" s="29">
        <f t="shared" si="2"/>
      </c>
      <c r="F36" s="30">
        <f t="shared" si="0"/>
      </c>
      <c r="G36" s="62">
        <f t="shared" si="4"/>
      </c>
      <c r="H36" s="62">
        <f t="shared" si="3"/>
      </c>
      <c r="I36" s="55"/>
      <c r="J36" s="55"/>
      <c r="K36" s="7"/>
      <c r="L36" s="4" t="str">
        <f>IF($F$5="M","Concrete Pavement 250 mm","Concrete Pavement 10 inches")</f>
        <v>Concrete Pavement 10 inches</v>
      </c>
      <c r="M36" s="5">
        <f>IF($F$5="M",0.86,0.72)</f>
        <v>0.72</v>
      </c>
      <c r="N36" s="6"/>
      <c r="O36" s="50"/>
      <c r="P36" s="50"/>
    </row>
    <row r="37" spans="1:16" ht="22.5" customHeight="1">
      <c r="A37" s="26"/>
      <c r="B37" s="31"/>
      <c r="C37" s="61">
        <f t="shared" si="1"/>
      </c>
      <c r="D37" s="16"/>
      <c r="E37" s="29">
        <f t="shared" si="2"/>
      </c>
      <c r="F37" s="30">
        <f t="shared" si="0"/>
      </c>
      <c r="G37" s="62">
        <f t="shared" si="4"/>
      </c>
      <c r="H37" s="62">
        <f t="shared" si="3"/>
      </c>
      <c r="I37" s="55"/>
      <c r="J37" s="55"/>
      <c r="K37" s="7"/>
      <c r="L37" s="4">
        <f>IF(F5="M","Concrete Pavement 260 mm","")</f>
      </c>
      <c r="M37" s="5">
        <v>0.86</v>
      </c>
      <c r="N37" s="6"/>
      <c r="O37" s="50"/>
      <c r="P37" s="50"/>
    </row>
    <row r="38" spans="1:16" ht="22.5" customHeight="1">
      <c r="A38" s="26"/>
      <c r="B38" s="31"/>
      <c r="C38" s="61">
        <f t="shared" si="1"/>
      </c>
      <c r="D38" s="16"/>
      <c r="E38" s="29">
        <f t="shared" si="2"/>
      </c>
      <c r="F38" s="30">
        <f t="shared" si="0"/>
      </c>
      <c r="G38" s="62">
        <f t="shared" si="4"/>
      </c>
      <c r="H38" s="62">
        <f t="shared" si="3"/>
      </c>
      <c r="I38" s="55"/>
      <c r="J38" s="55"/>
      <c r="K38" s="7"/>
      <c r="L38" s="4" t="str">
        <f>IF($F$5="M","Concrete Pavement 270 mm","Concrete Pavement 10 1/2 inches")</f>
        <v>Concrete Pavement 10 1/2 inches</v>
      </c>
      <c r="M38" s="5">
        <f>IF($F$5="M",0.89,0.75)</f>
        <v>0.75</v>
      </c>
      <c r="N38" s="6"/>
      <c r="O38" s="50"/>
      <c r="P38" s="50"/>
    </row>
    <row r="39" spans="1:16" ht="22.5" customHeight="1">
      <c r="A39" s="39"/>
      <c r="B39" s="40"/>
      <c r="C39" s="32"/>
      <c r="D39" s="32"/>
      <c r="E39" s="33"/>
      <c r="F39" s="34"/>
      <c r="G39" s="35"/>
      <c r="H39" s="36" t="s">
        <v>66</v>
      </c>
      <c r="I39" s="47"/>
      <c r="J39" s="55"/>
      <c r="K39" s="7"/>
      <c r="L39" s="4" t="str">
        <f>IF($F$5="M","Concrete Pavement 280 mm","Concrete Pavement 11 inches")</f>
        <v>Concrete Pavement 11 inches</v>
      </c>
      <c r="M39" s="5">
        <f>IF($F$5="M",0.93,0.78)</f>
        <v>0.78</v>
      </c>
      <c r="N39" s="6"/>
      <c r="O39" s="50"/>
      <c r="P39" s="50"/>
    </row>
    <row r="40" spans="9:14" ht="12.75">
      <c r="I40" s="41"/>
      <c r="J40" s="41"/>
      <c r="K40" s="7"/>
      <c r="L40" s="4" t="str">
        <f>IF($F$5="M","Concrete Pavement 290 mm","Concrete Pavement 11 1/2 inches")</f>
        <v>Concrete Pavement 11 1/2 inches</v>
      </c>
      <c r="M40" s="5">
        <f>IF($F$5="M",0.96,0.81)</f>
        <v>0.81</v>
      </c>
      <c r="N40" s="6"/>
    </row>
    <row r="41" spans="1:14" ht="12.75">
      <c r="A41" s="42"/>
      <c r="B41" s="43"/>
      <c r="C41" s="44"/>
      <c r="D41" s="44"/>
      <c r="E41" s="45"/>
      <c r="F41" s="46"/>
      <c r="G41" s="47"/>
      <c r="H41" s="47"/>
      <c r="I41" s="47"/>
      <c r="J41" s="47"/>
      <c r="K41" s="7"/>
      <c r="L41" s="4" t="str">
        <f>IF($F$5="M","Concrete Pavement 300 mm","Concrete Pavement 12 inches")</f>
        <v>Concrete Pavement 12 inches</v>
      </c>
      <c r="M41" s="5">
        <f>IF($F$5="M",0.99,0.83)</f>
        <v>0.83</v>
      </c>
      <c r="N41" s="6"/>
    </row>
    <row r="42" spans="1:14" ht="12.75">
      <c r="A42" s="42"/>
      <c r="B42" s="43"/>
      <c r="C42" s="44"/>
      <c r="D42" s="44"/>
      <c r="E42" s="45"/>
      <c r="F42" s="46"/>
      <c r="G42" s="47"/>
      <c r="H42" s="47"/>
      <c r="I42" s="47"/>
      <c r="J42" s="47"/>
      <c r="K42" s="7"/>
      <c r="L42" s="4" t="str">
        <f>IF($F$5="M","Concrete Pavement 320 mm","Concrete Pavement 12 1/2 inches")</f>
        <v>Concrete Pavement 12 1/2 inches</v>
      </c>
      <c r="M42" s="5">
        <f>IF($F$5="M",1.02,0.86)</f>
        <v>0.86</v>
      </c>
      <c r="N42" s="6"/>
    </row>
    <row r="43" spans="1:14" ht="12.75">
      <c r="A43" s="42"/>
      <c r="B43" s="43"/>
      <c r="C43" s="44"/>
      <c r="D43" s="44"/>
      <c r="E43" s="45"/>
      <c r="F43" s="46"/>
      <c r="G43" s="47"/>
      <c r="H43" s="47"/>
      <c r="I43" s="47"/>
      <c r="J43" s="47"/>
      <c r="K43" s="7"/>
      <c r="L43" s="4" t="str">
        <f>IF($F$5="M","Concrete Pavement 330 mm","Concrete Pavement 13 inches")</f>
        <v>Concrete Pavement 13 inches</v>
      </c>
      <c r="M43" s="5">
        <f>IF($F$5="M",1.06,0.89)</f>
        <v>0.89</v>
      </c>
      <c r="N43" s="6"/>
    </row>
    <row r="44" spans="1:14" ht="12.75">
      <c r="A44" s="42"/>
      <c r="B44" s="43"/>
      <c r="C44" s="44"/>
      <c r="D44" s="44"/>
      <c r="E44" s="45"/>
      <c r="F44" s="46"/>
      <c r="G44" s="47"/>
      <c r="H44" s="47"/>
      <c r="I44" s="47"/>
      <c r="J44" s="47"/>
      <c r="K44" s="7"/>
      <c r="L44" s="4" t="str">
        <f>IF($F$5="M","Concrete Pavement 340 mm","Concrete Pavement 13 1/2 inches")</f>
        <v>Concrete Pavement 13 1/2 inches</v>
      </c>
      <c r="M44" s="5">
        <f>IF($F$5="M",1.1,0.92)</f>
        <v>0.92</v>
      </c>
      <c r="N44" s="6"/>
    </row>
    <row r="45" spans="1:14" ht="12.75">
      <c r="A45" s="42"/>
      <c r="B45" s="43"/>
      <c r="C45" s="44"/>
      <c r="D45" s="44"/>
      <c r="E45" s="45"/>
      <c r="F45" s="46"/>
      <c r="G45" s="47"/>
      <c r="H45" s="47"/>
      <c r="I45" s="47"/>
      <c r="J45" s="47"/>
      <c r="K45" s="7"/>
      <c r="L45" s="4" t="str">
        <f>IF($F$5="M","Concrete Pavement 360 mm","Concrete Pavement 14 inches")</f>
        <v>Concrete Pavement 14 inches</v>
      </c>
      <c r="M45" s="5">
        <f>IF($F$5="M",1.14,0.95)</f>
        <v>0.95</v>
      </c>
      <c r="N45" s="6"/>
    </row>
    <row r="46" spans="1:14" ht="12.75">
      <c r="A46" s="48"/>
      <c r="B46" s="48"/>
      <c r="C46" s="48"/>
      <c r="D46" s="48"/>
      <c r="E46" s="49"/>
      <c r="F46" s="48"/>
      <c r="G46" s="48"/>
      <c r="H46" s="48"/>
      <c r="I46" s="48"/>
      <c r="J46" s="48"/>
      <c r="K46" s="7"/>
      <c r="L46" s="4" t="str">
        <f>IF($F$5="M","Concrete Pavement 370 mm","Concrete Pavement 14 1/2 inches")</f>
        <v>Concrete Pavement 14 1/2 inches</v>
      </c>
      <c r="M46" s="5">
        <f>IF($F$5="M",1.17,0.98)</f>
        <v>0.98</v>
      </c>
      <c r="N46" s="6"/>
    </row>
    <row r="47" spans="1:14" ht="12.75">
      <c r="A47" s="50"/>
      <c r="B47" s="50"/>
      <c r="C47" s="50"/>
      <c r="D47" s="50"/>
      <c r="E47" s="51"/>
      <c r="F47" s="50"/>
      <c r="G47" s="50"/>
      <c r="H47" s="50"/>
      <c r="I47" s="50"/>
      <c r="J47" s="50"/>
      <c r="K47" s="7"/>
      <c r="L47" s="4" t="s">
        <v>60</v>
      </c>
      <c r="M47" s="5">
        <f>IF($F$5="M",334.65,10.2)</f>
        <v>10.2</v>
      </c>
      <c r="N47" s="6"/>
    </row>
    <row r="48" spans="1:14" ht="12.75">
      <c r="A48" s="50"/>
      <c r="B48" s="50"/>
      <c r="C48" s="50"/>
      <c r="D48" s="50"/>
      <c r="E48" s="51"/>
      <c r="F48" s="50"/>
      <c r="G48" s="50"/>
      <c r="H48" s="50"/>
      <c r="I48" s="50"/>
      <c r="J48" s="50"/>
      <c r="K48" s="7"/>
      <c r="L48" s="4" t="s">
        <v>59</v>
      </c>
      <c r="M48" s="5">
        <f>IF($F$5="M",2.65,2.4)</f>
        <v>2.4</v>
      </c>
      <c r="N48" s="6"/>
    </row>
    <row r="49" spans="1:14" ht="12.75">
      <c r="A49" s="50"/>
      <c r="B49" s="50"/>
      <c r="C49" s="50"/>
      <c r="D49" s="50"/>
      <c r="E49" s="51"/>
      <c r="F49" s="50"/>
      <c r="G49" s="50"/>
      <c r="H49" s="50"/>
      <c r="I49" s="50"/>
      <c r="J49" s="50"/>
      <c r="K49" s="7"/>
      <c r="L49" s="4" t="s">
        <v>64</v>
      </c>
      <c r="M49" s="5">
        <f>IF($F$5="M",2.65,2.4)</f>
        <v>2.4</v>
      </c>
      <c r="N49" s="6"/>
    </row>
    <row r="50" spans="1:14" ht="12.75">
      <c r="A50" s="50"/>
      <c r="B50" s="50"/>
      <c r="C50" s="50"/>
      <c r="D50" s="50"/>
      <c r="E50" s="51"/>
      <c r="F50" s="50"/>
      <c r="G50" s="50"/>
      <c r="H50" s="50"/>
      <c r="I50" s="50"/>
      <c r="J50" s="50"/>
      <c r="K50" s="7"/>
      <c r="L50" s="4" t="s">
        <v>65</v>
      </c>
      <c r="M50" s="5">
        <f>IF($F$5="M",2.65,2.4)</f>
        <v>2.4</v>
      </c>
      <c r="N50" s="6"/>
    </row>
    <row r="51" spans="11:13" ht="12.75">
      <c r="K51" s="7"/>
      <c r="L51" s="4"/>
      <c r="M51" s="5"/>
    </row>
    <row r="52" spans="11:13" ht="12.75">
      <c r="K52" s="7"/>
      <c r="L52" s="6"/>
      <c r="M52" s="6"/>
    </row>
    <row r="53" spans="11:13" ht="12.75">
      <c r="K53" s="7"/>
      <c r="L53" s="37"/>
      <c r="M53" s="37"/>
    </row>
    <row r="54" spans="11:13" ht="12.75">
      <c r="K54" s="7"/>
      <c r="L54" s="37"/>
      <c r="M54" s="37"/>
    </row>
    <row r="55" spans="12:13" ht="12.75">
      <c r="L55" s="37"/>
      <c r="M55" s="37"/>
    </row>
    <row r="56" spans="12:13" ht="12.75">
      <c r="L56" s="37"/>
      <c r="M56" s="37"/>
    </row>
    <row r="57" spans="12:13" ht="12.75">
      <c r="L57" s="37"/>
      <c r="M57" s="37"/>
    </row>
    <row r="58" spans="12:13" ht="12.75">
      <c r="L58" s="37"/>
      <c r="M58" s="37"/>
    </row>
    <row r="59" spans="12:13" ht="12.75">
      <c r="L59" s="37"/>
      <c r="M59" s="37"/>
    </row>
    <row r="60" spans="12:13" ht="12.75">
      <c r="L60" s="37"/>
      <c r="M60" s="37"/>
    </row>
    <row r="61" spans="12:13" ht="12.75">
      <c r="L61" s="37"/>
      <c r="M61" s="37"/>
    </row>
    <row r="62" spans="12:13" ht="12.75">
      <c r="L62" s="37"/>
      <c r="M62" s="37"/>
    </row>
    <row r="63" spans="12:13" ht="12.75">
      <c r="L63" s="37"/>
      <c r="M63" s="37"/>
    </row>
    <row r="64" spans="12:13" ht="12.75">
      <c r="L64" s="37"/>
      <c r="M64" s="37"/>
    </row>
    <row r="65" spans="12:13" ht="12.75">
      <c r="L65" s="37"/>
      <c r="M65" s="37"/>
    </row>
    <row r="66" spans="12:13" ht="12.75">
      <c r="L66" s="37"/>
      <c r="M66" s="37"/>
    </row>
    <row r="67" spans="12:13" ht="12.75">
      <c r="L67" s="37"/>
      <c r="M67" s="37"/>
    </row>
    <row r="68" spans="12:13" ht="12.75">
      <c r="L68" s="37"/>
      <c r="M68" s="37"/>
    </row>
    <row r="69" spans="12:13" ht="12.75">
      <c r="L69" s="37"/>
      <c r="M69" s="37"/>
    </row>
    <row r="70" ht="12.75">
      <c r="L70" s="37"/>
    </row>
    <row r="71" ht="12.75">
      <c r="L71" s="37"/>
    </row>
    <row r="72" ht="12.75">
      <c r="L72" s="37"/>
    </row>
  </sheetData>
  <sheetProtection password="BF11" sheet="1" objects="1" scenarios="1" selectLockedCells="1"/>
  <mergeCells count="4">
    <mergeCell ref="F3:H3"/>
    <mergeCell ref="F4:H4"/>
    <mergeCell ref="D5:E5"/>
    <mergeCell ref="B6:E6"/>
  </mergeCells>
  <dataValidations count="1">
    <dataValidation type="list" allowBlank="1" showInputMessage="1" showErrorMessage="1" promptTitle="Data Entry Restriction!" prompt="Please select one item from this drop down box. No other values will be accepted." errorTitle="Wrong data!" error="Please enter a value from the drop down list." sqref="B6:E6">
      <formula1>$L$7:$L$50</formula1>
    </dataValidation>
  </dataValidations>
  <printOptions/>
  <pageMargins left="1.06" right="0.5" top="0.5" bottom="0" header="0.5" footer="0"/>
  <pageSetup blackAndWhite="1" fitToHeight="1" fitToWidth="1" horizontalDpi="600" verticalDpi="600" orientation="portrait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"/>
  <sheetViews>
    <sheetView showGridLines="0" showRowColHeaders="0" zoomScalePageLayoutView="0" workbookViewId="0" topLeftCell="A1">
      <selection activeCell="B6" sqref="B6:E6"/>
    </sheetView>
  </sheetViews>
  <sheetFormatPr defaultColWidth="9.140625" defaultRowHeight="12.75"/>
  <cols>
    <col min="1" max="1" width="13.00390625" style="0" customWidth="1"/>
    <col min="2" max="2" width="13.28125" style="0" customWidth="1"/>
    <col min="3" max="3" width="9.00390625" style="0" customWidth="1"/>
    <col min="4" max="4" width="9.28125" style="0" customWidth="1"/>
    <col min="5" max="5" width="11.00390625" style="1" customWidth="1"/>
    <col min="6" max="6" width="10.57421875" style="0" customWidth="1"/>
    <col min="7" max="8" width="16.00390625" style="0" bestFit="1" customWidth="1"/>
    <col min="11" max="11" width="3.57421875" style="0" customWidth="1"/>
    <col min="12" max="12" width="47.00390625" style="0" hidden="1" customWidth="1"/>
    <col min="13" max="13" width="8.28125" style="0" hidden="1" customWidth="1"/>
    <col min="14" max="14" width="7.140625" style="0" customWidth="1"/>
    <col min="15" max="16" width="9.140625" style="0" customWidth="1"/>
  </cols>
  <sheetData>
    <row r="1" spans="1:16" ht="15">
      <c r="A1" s="8"/>
      <c r="B1" s="8"/>
      <c r="C1" s="9" t="s">
        <v>67</v>
      </c>
      <c r="D1" s="8"/>
      <c r="E1" s="10"/>
      <c r="F1" s="8"/>
      <c r="G1" s="8"/>
      <c r="H1" s="8"/>
      <c r="I1" s="52"/>
      <c r="J1" s="52"/>
      <c r="K1" s="50"/>
      <c r="L1" s="50"/>
      <c r="M1" s="50"/>
      <c r="N1" s="50"/>
      <c r="O1" s="50"/>
      <c r="P1" s="50"/>
    </row>
    <row r="2" spans="1:16" ht="17.25" customHeight="1">
      <c r="A2" s="8"/>
      <c r="B2" s="8"/>
      <c r="C2" s="8"/>
      <c r="D2" s="8"/>
      <c r="E2" s="10"/>
      <c r="F2" s="8"/>
      <c r="G2" s="8"/>
      <c r="H2" s="8"/>
      <c r="I2" s="52"/>
      <c r="J2" s="52"/>
      <c r="K2" s="50"/>
      <c r="L2" s="50"/>
      <c r="M2" s="50"/>
      <c r="N2" s="50"/>
      <c r="O2" s="50"/>
      <c r="P2" s="50"/>
    </row>
    <row r="3" spans="1:16" ht="21" customHeight="1">
      <c r="A3" s="11"/>
      <c r="B3" s="12"/>
      <c r="C3" s="11"/>
      <c r="D3" s="11"/>
      <c r="E3" s="63" t="s">
        <v>42</v>
      </c>
      <c r="F3" s="97">
        <f>IF('Item 1'!F3:H3="","",'Item 1'!F3:H3)</f>
      </c>
      <c r="G3" s="97"/>
      <c r="H3" s="97"/>
      <c r="I3" s="53"/>
      <c r="J3" s="53"/>
      <c r="K3" s="50"/>
      <c r="L3" s="50"/>
      <c r="M3" s="50"/>
      <c r="N3" s="50"/>
      <c r="O3" s="50"/>
      <c r="P3" s="50"/>
    </row>
    <row r="4" spans="1:16" ht="21" customHeight="1">
      <c r="A4" s="13" t="s">
        <v>43</v>
      </c>
      <c r="B4" s="82">
        <f>IF('Item 1'!B4="","",'Item 1'!B4)</f>
      </c>
      <c r="C4" s="38"/>
      <c r="D4" s="11"/>
      <c r="E4" s="64" t="s">
        <v>41</v>
      </c>
      <c r="F4" s="98">
        <f>IF('Item 1'!F4:H4="","",'Item 1'!F4:H4)</f>
      </c>
      <c r="G4" s="99"/>
      <c r="H4" s="100"/>
      <c r="I4" s="53"/>
      <c r="J4" s="53"/>
      <c r="K4" s="50"/>
      <c r="L4" s="57"/>
      <c r="M4" s="50"/>
      <c r="N4" s="50"/>
      <c r="O4" s="50"/>
      <c r="P4" s="50"/>
    </row>
    <row r="5" spans="1:16" ht="21" customHeight="1">
      <c r="A5" s="79" t="s">
        <v>44</v>
      </c>
      <c r="B5" s="15"/>
      <c r="C5" s="81">
        <f>IF('Item 1'!C5="","",'Item 1'!C5)</f>
      </c>
      <c r="D5" s="95" t="s">
        <v>46</v>
      </c>
      <c r="E5" s="96"/>
      <c r="F5" s="80">
        <f>IF('Item 1'!F5="","",'Item 1'!F5)</f>
      </c>
      <c r="G5" s="65" t="s">
        <v>45</v>
      </c>
      <c r="H5" s="60">
        <f>IF(B6="","",VLOOKUP(B6,L7:M50,2,FALSE))</f>
      </c>
      <c r="I5" s="53"/>
      <c r="J5" s="53"/>
      <c r="K5" s="4"/>
      <c r="L5" s="56"/>
      <c r="N5" s="4"/>
      <c r="O5" s="50"/>
      <c r="P5" s="50"/>
    </row>
    <row r="6" spans="1:16" ht="21" customHeight="1">
      <c r="A6" s="79" t="s">
        <v>20</v>
      </c>
      <c r="B6" s="88"/>
      <c r="C6" s="89"/>
      <c r="D6" s="89"/>
      <c r="E6" s="90"/>
      <c r="F6" s="58"/>
      <c r="H6" s="59"/>
      <c r="I6" s="53"/>
      <c r="J6" s="53"/>
      <c r="K6" s="4"/>
      <c r="L6" s="4" t="s">
        <v>21</v>
      </c>
      <c r="M6" s="4" t="s">
        <v>37</v>
      </c>
      <c r="O6" s="50"/>
      <c r="P6" s="4"/>
    </row>
    <row r="7" spans="1:16" ht="12.75">
      <c r="A7" s="11"/>
      <c r="B7" s="11"/>
      <c r="C7" s="17"/>
      <c r="D7" s="11"/>
      <c r="E7" s="7"/>
      <c r="F7" s="11"/>
      <c r="G7" s="11"/>
      <c r="H7" s="11"/>
      <c r="I7" s="53"/>
      <c r="J7" s="53"/>
      <c r="K7" s="4"/>
      <c r="L7" s="4" t="s">
        <v>22</v>
      </c>
      <c r="M7" s="5">
        <f>IF($F$5="M",0.33,0.25)</f>
        <v>0.25</v>
      </c>
      <c r="O7" s="50"/>
      <c r="P7" s="5"/>
    </row>
    <row r="8" spans="1:16" ht="12.75">
      <c r="A8" s="18" t="s">
        <v>0</v>
      </c>
      <c r="B8" s="18" t="s">
        <v>18</v>
      </c>
      <c r="C8" s="19" t="s">
        <v>2</v>
      </c>
      <c r="D8" s="18" t="s">
        <v>5</v>
      </c>
      <c r="E8" s="20" t="s">
        <v>8</v>
      </c>
      <c r="F8" s="18" t="s">
        <v>10</v>
      </c>
      <c r="G8" s="18" t="s">
        <v>13</v>
      </c>
      <c r="H8" s="18" t="s">
        <v>8</v>
      </c>
      <c r="I8" s="54"/>
      <c r="J8" s="54"/>
      <c r="K8" s="4"/>
      <c r="L8" s="4" t="s">
        <v>61</v>
      </c>
      <c r="M8" s="5">
        <f>IF($F$5="M",0.33,0.25)</f>
        <v>0.25</v>
      </c>
      <c r="O8" s="50"/>
      <c r="P8" s="5"/>
    </row>
    <row r="9" spans="1:16" ht="12.75">
      <c r="A9" s="21"/>
      <c r="B9" s="22" t="s">
        <v>16</v>
      </c>
      <c r="C9" s="22" t="s">
        <v>3</v>
      </c>
      <c r="D9" s="22" t="s">
        <v>6</v>
      </c>
      <c r="E9" s="23"/>
      <c r="F9" s="22" t="s">
        <v>11</v>
      </c>
      <c r="G9" s="22" t="s">
        <v>14</v>
      </c>
      <c r="H9" s="22" t="s">
        <v>9</v>
      </c>
      <c r="I9" s="54"/>
      <c r="J9" s="54"/>
      <c r="K9" s="4"/>
      <c r="L9" s="4" t="s">
        <v>19</v>
      </c>
      <c r="M9" s="5">
        <f>IF($F$5="M",0.43,0.33)</f>
        <v>0.33</v>
      </c>
      <c r="O9" s="50"/>
      <c r="P9" s="5"/>
    </row>
    <row r="10" spans="1:16" ht="12.75">
      <c r="A10" s="24" t="s">
        <v>1</v>
      </c>
      <c r="B10" s="24" t="s">
        <v>17</v>
      </c>
      <c r="C10" s="24" t="s">
        <v>4</v>
      </c>
      <c r="D10" s="24" t="s">
        <v>7</v>
      </c>
      <c r="E10" s="25" t="s">
        <v>9</v>
      </c>
      <c r="F10" s="24" t="s">
        <v>12</v>
      </c>
      <c r="G10" s="24" t="s">
        <v>15</v>
      </c>
      <c r="H10" s="24" t="s">
        <v>15</v>
      </c>
      <c r="I10" s="54"/>
      <c r="J10" s="54"/>
      <c r="K10" s="4"/>
      <c r="L10" s="4" t="s">
        <v>62</v>
      </c>
      <c r="M10" s="5">
        <f>IF($F$5="M",0.43,0.33)</f>
        <v>0.33</v>
      </c>
      <c r="O10" s="50"/>
      <c r="P10" s="5"/>
    </row>
    <row r="11" spans="1:16" ht="22.5" customHeight="1">
      <c r="A11" s="26"/>
      <c r="B11" s="27"/>
      <c r="C11" s="61">
        <f>IF(H5="","",ABS($H$5))</f>
      </c>
      <c r="D11" s="28"/>
      <c r="E11" s="29">
        <f>IF(D11="","",+D11)</f>
      </c>
      <c r="F11" s="30">
        <f>+IF(B11="","",(B11-$C$5))</f>
      </c>
      <c r="G11" s="62">
        <f>IF(C11="","",IF(F11="","",+C11*D11*F11))</f>
      </c>
      <c r="H11" s="62">
        <f>+G11</f>
      </c>
      <c r="I11" s="54"/>
      <c r="J11" s="54"/>
      <c r="K11" s="4"/>
      <c r="L11" s="4" t="s">
        <v>24</v>
      </c>
      <c r="M11" s="5">
        <f>IF($F$5="M",0.38,0.29)</f>
        <v>0.29</v>
      </c>
      <c r="O11" s="50"/>
      <c r="P11" s="5"/>
    </row>
    <row r="12" spans="1:16" ht="22.5" customHeight="1">
      <c r="A12" s="26"/>
      <c r="B12" s="31"/>
      <c r="C12" s="61">
        <f>IF(B12="","",ABS($H$5))</f>
      </c>
      <c r="D12" s="16"/>
      <c r="E12" s="29">
        <f>IF(D12="","",+D12+E11)</f>
      </c>
      <c r="F12" s="30">
        <f aca="true" t="shared" si="0" ref="F12:F38">+IF(B12="","",(B12-$C$5))</f>
      </c>
      <c r="G12" s="62">
        <f>IF(C12="","",IF(F12="","",+C12*D12*F12))</f>
      </c>
      <c r="H12" s="62">
        <f>IF(G12="","",+H11+G12)</f>
      </c>
      <c r="I12" s="55"/>
      <c r="J12" s="55"/>
      <c r="K12" s="4"/>
      <c r="L12" s="4" t="s">
        <v>25</v>
      </c>
      <c r="M12" s="5">
        <f>IF($F$5="M",0.39,0.3)</f>
        <v>0.3</v>
      </c>
      <c r="O12" s="50"/>
      <c r="P12" s="5"/>
    </row>
    <row r="13" spans="1:16" ht="22.5" customHeight="1">
      <c r="A13" s="26"/>
      <c r="B13" s="31"/>
      <c r="C13" s="61">
        <f aca="true" t="shared" si="1" ref="C13:C38">IF(B13="","",ABS($H$5))</f>
      </c>
      <c r="D13" s="16"/>
      <c r="E13" s="29">
        <f aca="true" t="shared" si="2" ref="E13:E38">IF(D13="","",+D13+E12)</f>
      </c>
      <c r="F13" s="30">
        <f t="shared" si="0"/>
      </c>
      <c r="G13" s="62">
        <f>IF(C13="","",IF(F13="","",+C13*D13*F13))</f>
      </c>
      <c r="H13" s="62">
        <f aca="true" t="shared" si="3" ref="H13:H38">IF(G13="","",+H12+G13)</f>
      </c>
      <c r="I13" s="55"/>
      <c r="J13" s="55"/>
      <c r="K13" s="4"/>
      <c r="L13" s="4" t="s">
        <v>63</v>
      </c>
      <c r="M13" s="5">
        <f>IF($F$5="M",0.36,0.3)</f>
        <v>0.3</v>
      </c>
      <c r="O13" s="50"/>
      <c r="P13" s="5"/>
    </row>
    <row r="14" spans="1:16" ht="22.5" customHeight="1">
      <c r="A14" s="26"/>
      <c r="B14" s="31"/>
      <c r="C14" s="61">
        <f t="shared" si="1"/>
      </c>
      <c r="D14" s="16"/>
      <c r="E14" s="29">
        <f t="shared" si="2"/>
      </c>
      <c r="F14" s="30">
        <f t="shared" si="0"/>
      </c>
      <c r="G14" s="62">
        <f>IF(C14="","",IF(F14="","",+C14*D14*F14))</f>
      </c>
      <c r="H14" s="62">
        <f t="shared" si="3"/>
      </c>
      <c r="I14" s="55"/>
      <c r="J14" s="55"/>
      <c r="K14" s="66"/>
      <c r="L14" s="4" t="str">
        <f>IF($F$5="M","Concrete Placement:  75mm","Concrete Placement:  3 inches")</f>
        <v>Concrete Placement:  3 inches</v>
      </c>
      <c r="M14" s="5">
        <f>IF($F$5="M",0.36,0.3)</f>
        <v>0.3</v>
      </c>
      <c r="O14" s="50"/>
      <c r="P14" s="67"/>
    </row>
    <row r="15" spans="1:16" ht="22.5" customHeight="1">
      <c r="A15" s="26"/>
      <c r="B15" s="31"/>
      <c r="C15" s="61">
        <f t="shared" si="1"/>
      </c>
      <c r="D15" s="16"/>
      <c r="E15" s="29">
        <f t="shared" si="2"/>
      </c>
      <c r="F15" s="30">
        <f t="shared" si="0"/>
      </c>
      <c r="G15" s="62">
        <f>IF(C15="","",IF(F15="","",+C15*D15*F15))</f>
      </c>
      <c r="H15" s="62">
        <f t="shared" si="3"/>
      </c>
      <c r="I15" s="55"/>
      <c r="J15" s="55"/>
      <c r="K15" s="66"/>
      <c r="L15" s="4" t="str">
        <f>IF($F$5="M","","Concrete Placement:  3.5 inches")</f>
        <v>Concrete Placement:  3.5 inches</v>
      </c>
      <c r="M15" s="5">
        <f>IF($F$5="M",0.39,0.33)</f>
        <v>0.33</v>
      </c>
      <c r="O15" s="50"/>
      <c r="P15" s="67"/>
    </row>
    <row r="16" spans="1:16" ht="22.5" customHeight="1">
      <c r="A16" s="26"/>
      <c r="B16" s="31"/>
      <c r="C16" s="61">
        <f t="shared" si="1"/>
      </c>
      <c r="D16" s="16"/>
      <c r="E16" s="29">
        <f t="shared" si="2"/>
      </c>
      <c r="F16" s="30">
        <f t="shared" si="0"/>
      </c>
      <c r="G16" s="62">
        <f aca="true" t="shared" si="4" ref="G16:G38">IF(F16="","",+C16*D16*F16)</f>
      </c>
      <c r="H16" s="62">
        <f t="shared" si="3"/>
      </c>
      <c r="I16" s="55"/>
      <c r="J16" s="55"/>
      <c r="K16" s="4"/>
      <c r="L16" s="4" t="str">
        <f>IF($F$5="M","Concrete Placement:  100mm","Concrete Placement:  4 inches")</f>
        <v>Concrete Placement:  4 inches</v>
      </c>
      <c r="M16" s="5">
        <f>IF($F$5="M",0.43,0.36)</f>
        <v>0.36</v>
      </c>
      <c r="O16" s="50"/>
      <c r="P16" s="5"/>
    </row>
    <row r="17" spans="1:16" ht="22.5" customHeight="1">
      <c r="A17" s="26"/>
      <c r="B17" s="31"/>
      <c r="C17" s="61">
        <f t="shared" si="1"/>
      </c>
      <c r="D17" s="16"/>
      <c r="E17" s="29">
        <f t="shared" si="2"/>
      </c>
      <c r="F17" s="30">
        <f t="shared" si="0"/>
      </c>
      <c r="G17" s="62">
        <f t="shared" si="4"/>
      </c>
      <c r="H17" s="62">
        <f t="shared" si="3"/>
      </c>
      <c r="I17" s="55"/>
      <c r="J17" s="55"/>
      <c r="K17" s="66"/>
      <c r="L17" s="4" t="str">
        <f>IF($F$5="M","","Concrete Placement:  4.5 inches")</f>
        <v>Concrete Placement:  4.5 inches</v>
      </c>
      <c r="M17" s="5">
        <f>IF($F$5="M",0.46,0.39)</f>
        <v>0.39</v>
      </c>
      <c r="O17" s="50"/>
      <c r="P17" s="67"/>
    </row>
    <row r="18" spans="1:16" ht="22.5" customHeight="1">
      <c r="A18" s="26"/>
      <c r="B18" s="31"/>
      <c r="C18" s="61">
        <f t="shared" si="1"/>
      </c>
      <c r="D18" s="16"/>
      <c r="E18" s="29">
        <f t="shared" si="2"/>
      </c>
      <c r="F18" s="30">
        <f t="shared" si="0"/>
      </c>
      <c r="G18" s="62">
        <f t="shared" si="4"/>
      </c>
      <c r="H18" s="62">
        <f t="shared" si="3"/>
      </c>
      <c r="I18" s="55"/>
      <c r="J18" s="55"/>
      <c r="K18" s="4"/>
      <c r="L18" s="4" t="str">
        <f>IF($F$5="M","Concrete Placement:  140mm","Concrete Placement:  5 inches")</f>
        <v>Concrete Placement:  5 inches</v>
      </c>
      <c r="M18" s="5">
        <f>IF($F$5="M",0.5,0.42)</f>
        <v>0.42</v>
      </c>
      <c r="O18" s="50"/>
      <c r="P18" s="5"/>
    </row>
    <row r="19" spans="1:16" ht="22.5" customHeight="1">
      <c r="A19" s="26"/>
      <c r="B19" s="31"/>
      <c r="C19" s="61">
        <f t="shared" si="1"/>
      </c>
      <c r="D19" s="16"/>
      <c r="E19" s="29">
        <f t="shared" si="2"/>
      </c>
      <c r="F19" s="30">
        <f t="shared" si="0"/>
      </c>
      <c r="G19" s="62">
        <f t="shared" si="4"/>
      </c>
      <c r="H19" s="62">
        <f t="shared" si="3"/>
      </c>
      <c r="I19" s="55"/>
      <c r="J19" s="55"/>
      <c r="K19" s="66"/>
      <c r="L19" s="4" t="str">
        <f>IF($F$5="M","","Concrete Placement:  5.5 inches")</f>
        <v>Concrete Placement:  5.5 inches</v>
      </c>
      <c r="M19" s="5">
        <f>IF($F$5="M",0.53,0.45)</f>
        <v>0.45</v>
      </c>
      <c r="O19" s="50"/>
      <c r="P19" s="67"/>
    </row>
    <row r="20" spans="1:16" ht="21" customHeight="1">
      <c r="A20" s="26"/>
      <c r="B20" s="31"/>
      <c r="C20" s="61">
        <f t="shared" si="1"/>
      </c>
      <c r="D20" s="16"/>
      <c r="E20" s="29">
        <f t="shared" si="2"/>
      </c>
      <c r="F20" s="30">
        <f t="shared" si="0"/>
      </c>
      <c r="G20" s="62">
        <f t="shared" si="4"/>
      </c>
      <c r="H20" s="62">
        <f t="shared" si="3"/>
      </c>
      <c r="I20" s="55"/>
      <c r="J20" s="55"/>
      <c r="K20" s="4"/>
      <c r="L20" s="4" t="str">
        <f>IF($F$5="M","Concrete Placement:  160mm","Concrete Placement:  6 inches")</f>
        <v>Concrete Placement:  6 inches</v>
      </c>
      <c r="M20" s="5">
        <f>IF($F$5="M",0.57,0.48)</f>
        <v>0.48</v>
      </c>
      <c r="O20" s="50"/>
      <c r="P20" s="5"/>
    </row>
    <row r="21" spans="1:16" ht="21" customHeight="1">
      <c r="A21" s="26"/>
      <c r="B21" s="31"/>
      <c r="C21" s="61">
        <f t="shared" si="1"/>
      </c>
      <c r="D21" s="16"/>
      <c r="E21" s="29">
        <f t="shared" si="2"/>
      </c>
      <c r="F21" s="30">
        <f t="shared" si="0"/>
      </c>
      <c r="G21" s="62">
        <f t="shared" si="4"/>
      </c>
      <c r="H21" s="62">
        <f t="shared" si="3"/>
      </c>
      <c r="I21" s="55"/>
      <c r="J21" s="55"/>
      <c r="K21" s="66"/>
      <c r="L21" s="4" t="str">
        <f>IF($F$5="M","Bonded Concrete Pavement (75mm)","Bonded Concrete Pavement (3 inches)")</f>
        <v>Bonded Concrete Pavement (3 inches)</v>
      </c>
      <c r="M21" s="5">
        <f>IF($F$5="M",0.36,0.3)</f>
        <v>0.3</v>
      </c>
      <c r="O21" s="50"/>
      <c r="P21" s="67"/>
    </row>
    <row r="22" spans="1:16" ht="21" customHeight="1">
      <c r="A22" s="26"/>
      <c r="B22" s="31"/>
      <c r="C22" s="61">
        <f t="shared" si="1"/>
      </c>
      <c r="D22" s="16"/>
      <c r="E22" s="29">
        <f t="shared" si="2"/>
      </c>
      <c r="F22" s="30">
        <f t="shared" si="0"/>
      </c>
      <c r="G22" s="62">
        <f t="shared" si="4"/>
      </c>
      <c r="H22" s="62">
        <f t="shared" si="3"/>
      </c>
      <c r="I22" s="55"/>
      <c r="J22" s="55"/>
      <c r="K22" s="4"/>
      <c r="L22" s="4" t="str">
        <f>IF($F$5="M","","Bonded Concrete Pavement (3.5 inches)")</f>
        <v>Bonded Concrete Pavement (3.5 inches)</v>
      </c>
      <c r="M22" s="5">
        <f>IF($F$5="M",0.39,0.33)</f>
        <v>0.33</v>
      </c>
      <c r="O22" s="50"/>
      <c r="P22" s="5"/>
    </row>
    <row r="23" spans="1:16" ht="22.5" customHeight="1">
      <c r="A23" s="26"/>
      <c r="B23" s="31"/>
      <c r="C23" s="61">
        <f t="shared" si="1"/>
      </c>
      <c r="D23" s="16"/>
      <c r="E23" s="29">
        <f t="shared" si="2"/>
      </c>
      <c r="F23" s="30">
        <f t="shared" si="0"/>
      </c>
      <c r="G23" s="62">
        <f t="shared" si="4"/>
      </c>
      <c r="H23" s="62">
        <f t="shared" si="3"/>
      </c>
      <c r="I23" s="55"/>
      <c r="J23" s="55"/>
      <c r="K23" s="66"/>
      <c r="L23" s="4" t="str">
        <f>IF($F$5="M","Bonded Concrete Pavement (100mm)","Bonded Concrete Pavement (4 inches)")</f>
        <v>Bonded Concrete Pavement (4 inches)</v>
      </c>
      <c r="M23" s="5">
        <f>IF($F$5="M",0.43,0.36)</f>
        <v>0.36</v>
      </c>
      <c r="O23" s="50"/>
      <c r="P23" s="67"/>
    </row>
    <row r="24" spans="1:16" ht="22.5" customHeight="1">
      <c r="A24" s="26"/>
      <c r="B24" s="31"/>
      <c r="C24" s="61">
        <f t="shared" si="1"/>
      </c>
      <c r="D24" s="16"/>
      <c r="E24" s="29">
        <f t="shared" si="2"/>
      </c>
      <c r="F24" s="30">
        <f t="shared" si="0"/>
      </c>
      <c r="G24" s="62">
        <f t="shared" si="4"/>
      </c>
      <c r="H24" s="62">
        <f t="shared" si="3"/>
      </c>
      <c r="I24" s="55"/>
      <c r="J24" s="55"/>
      <c r="K24" s="4"/>
      <c r="L24" s="4" t="str">
        <f>IF($F$5="M","","Bonded Concrete Pavement (4.5 inches)")</f>
        <v>Bonded Concrete Pavement (4.5 inches)</v>
      </c>
      <c r="M24" s="5">
        <f>IF($F$5="M",0.46,0.39)</f>
        <v>0.39</v>
      </c>
      <c r="O24" s="50"/>
      <c r="P24" s="5"/>
    </row>
    <row r="25" spans="1:16" ht="22.5" customHeight="1">
      <c r="A25" s="26"/>
      <c r="B25" s="31"/>
      <c r="C25" s="61">
        <f t="shared" si="1"/>
      </c>
      <c r="D25" s="16"/>
      <c r="E25" s="29">
        <f t="shared" si="2"/>
      </c>
      <c r="F25" s="30">
        <f t="shared" si="0"/>
      </c>
      <c r="G25" s="62">
        <f t="shared" si="4"/>
      </c>
      <c r="H25" s="62">
        <f t="shared" si="3"/>
      </c>
      <c r="I25" s="55"/>
      <c r="J25" s="55"/>
      <c r="K25" s="66"/>
      <c r="L25" s="4" t="str">
        <f>IF($F$5="M","Bonded Concrete Pavement (140mm)","Bonded Concrete Pavement (5 inches)")</f>
        <v>Bonded Concrete Pavement (5 inches)</v>
      </c>
      <c r="M25" s="5">
        <f>IF($F$5="M",0.5,0.42)</f>
        <v>0.42</v>
      </c>
      <c r="O25" s="50"/>
      <c r="P25" s="67"/>
    </row>
    <row r="26" spans="1:16" ht="22.5" customHeight="1">
      <c r="A26" s="26"/>
      <c r="B26" s="31"/>
      <c r="C26" s="61">
        <f t="shared" si="1"/>
      </c>
      <c r="D26" s="16"/>
      <c r="E26" s="29">
        <f t="shared" si="2"/>
      </c>
      <c r="F26" s="30">
        <f t="shared" si="0"/>
      </c>
      <c r="G26" s="62">
        <f t="shared" si="4"/>
      </c>
      <c r="H26" s="62">
        <f t="shared" si="3"/>
      </c>
      <c r="I26" s="55"/>
      <c r="J26" s="55"/>
      <c r="K26" s="4"/>
      <c r="L26" s="4" t="str">
        <f>IF($F$5="M","","Bonded Concrete Pavement (5.5 inches)")</f>
        <v>Bonded Concrete Pavement (5.5 inches)</v>
      </c>
      <c r="M26" s="5">
        <f>IF($F$5="M",0.53,0.45)</f>
        <v>0.45</v>
      </c>
      <c r="O26" s="50"/>
      <c r="P26" s="5"/>
    </row>
    <row r="27" spans="1:16" ht="22.5" customHeight="1">
      <c r="A27" s="26"/>
      <c r="B27" s="31"/>
      <c r="C27" s="61">
        <f t="shared" si="1"/>
      </c>
      <c r="D27" s="16"/>
      <c r="E27" s="29">
        <f t="shared" si="2"/>
      </c>
      <c r="F27" s="30">
        <f t="shared" si="0"/>
      </c>
      <c r="G27" s="62">
        <f t="shared" si="4"/>
      </c>
      <c r="H27" s="62">
        <f t="shared" si="3"/>
      </c>
      <c r="I27" s="55"/>
      <c r="J27" s="55"/>
      <c r="K27" s="66"/>
      <c r="L27" s="4" t="str">
        <f>IF($F$5="M","Bonded Concrete Pavement (160mm)","Bonded Concrete Pavement (6 inches)")</f>
        <v>Bonded Concrete Pavement (6 inches)</v>
      </c>
      <c r="M27" s="5">
        <f>IF($F$5="M",0.57,0.48)</f>
        <v>0.48</v>
      </c>
      <c r="O27" s="50"/>
      <c r="P27" s="67"/>
    </row>
    <row r="28" spans="1:16" ht="22.5" customHeight="1">
      <c r="A28" s="26"/>
      <c r="B28" s="31"/>
      <c r="C28" s="61">
        <f t="shared" si="1"/>
      </c>
      <c r="D28" s="16"/>
      <c r="E28" s="29">
        <f t="shared" si="2"/>
      </c>
      <c r="F28" s="30">
        <f t="shared" si="0"/>
      </c>
      <c r="G28" s="62">
        <f t="shared" si="4"/>
      </c>
      <c r="H28" s="62">
        <f t="shared" si="3"/>
      </c>
      <c r="I28" s="55"/>
      <c r="J28" s="55"/>
      <c r="K28" s="4"/>
      <c r="L28" s="4" t="str">
        <f>IF($F$5="M","Concrete Pavement 160 mm","Concrete Pavement 6 inches")</f>
        <v>Concrete Pavement 6 inches</v>
      </c>
      <c r="M28" s="5">
        <f>IF($F$5="M",0.58,0.48)</f>
        <v>0.48</v>
      </c>
      <c r="O28" s="50"/>
      <c r="P28" s="5"/>
    </row>
    <row r="29" spans="1:16" ht="22.5" customHeight="1">
      <c r="A29" s="26"/>
      <c r="B29" s="31"/>
      <c r="C29" s="61">
        <f t="shared" si="1"/>
      </c>
      <c r="D29" s="16"/>
      <c r="E29" s="29">
        <f t="shared" si="2"/>
      </c>
      <c r="F29" s="30">
        <f t="shared" si="0"/>
      </c>
      <c r="G29" s="62">
        <f t="shared" si="4"/>
      </c>
      <c r="H29" s="62">
        <f t="shared" si="3"/>
      </c>
      <c r="I29" s="55"/>
      <c r="J29" s="55"/>
      <c r="K29" s="4"/>
      <c r="L29" s="4" t="str">
        <f>IF($F$5="M","","Concrete Pavement 6.5 inches")</f>
        <v>Concrete Pavement 6.5 inches</v>
      </c>
      <c r="M29" s="5">
        <f>IF($F$5="M",0.61,0.51)</f>
        <v>0.51</v>
      </c>
      <c r="O29" s="50"/>
      <c r="P29" s="5"/>
    </row>
    <row r="30" spans="1:16" ht="22.5" customHeight="1">
      <c r="A30" s="26"/>
      <c r="B30" s="31"/>
      <c r="C30" s="61">
        <f t="shared" si="1"/>
      </c>
      <c r="D30" s="16"/>
      <c r="E30" s="29">
        <f t="shared" si="2"/>
      </c>
      <c r="F30" s="30">
        <f t="shared" si="0"/>
      </c>
      <c r="G30" s="62">
        <f t="shared" si="4"/>
      </c>
      <c r="H30" s="62">
        <f t="shared" si="3"/>
      </c>
      <c r="I30" s="55"/>
      <c r="J30" s="55"/>
      <c r="K30" s="4"/>
      <c r="L30" s="4" t="str">
        <f>IF($F$5="M","Concrete Pavement 180 mm","Concrete Pavement 7 inches")</f>
        <v>Concrete Pavement 7 inches</v>
      </c>
      <c r="M30" s="5">
        <f>IF($F$5="M",0.65,0.54)</f>
        <v>0.54</v>
      </c>
      <c r="O30" s="50"/>
      <c r="P30" s="5"/>
    </row>
    <row r="31" spans="1:16" ht="22.5" customHeight="1">
      <c r="A31" s="26"/>
      <c r="B31" s="31"/>
      <c r="C31" s="61">
        <f t="shared" si="1"/>
      </c>
      <c r="D31" s="16"/>
      <c r="E31" s="29">
        <f t="shared" si="2"/>
      </c>
      <c r="F31" s="30">
        <f t="shared" si="0"/>
      </c>
      <c r="G31" s="62">
        <f t="shared" si="4"/>
      </c>
      <c r="H31" s="62">
        <f t="shared" si="3"/>
      </c>
      <c r="I31" s="55"/>
      <c r="J31" s="55"/>
      <c r="K31" s="4"/>
      <c r="L31" s="4" t="str">
        <f>IF($F$5="M","Concrete Pavement 190 mm","Concrete Pavement 7.5 inches")</f>
        <v>Concrete Pavement 7.5 inches</v>
      </c>
      <c r="M31" s="5">
        <f>IF($F$5="M",0.69,0.57)</f>
        <v>0.57</v>
      </c>
      <c r="O31" s="50"/>
      <c r="P31" s="5"/>
    </row>
    <row r="32" spans="1:16" ht="22.5" customHeight="1">
      <c r="A32" s="26"/>
      <c r="B32" s="31"/>
      <c r="C32" s="61">
        <f t="shared" si="1"/>
      </c>
      <c r="D32" s="16"/>
      <c r="E32" s="29">
        <f t="shared" si="2"/>
      </c>
      <c r="F32" s="30">
        <f t="shared" si="0"/>
      </c>
      <c r="G32" s="62">
        <f t="shared" si="4"/>
      </c>
      <c r="H32" s="62">
        <f t="shared" si="3"/>
      </c>
      <c r="I32" s="55"/>
      <c r="J32" s="55"/>
      <c r="K32" s="4"/>
      <c r="L32" s="4" t="str">
        <f>IF($F$5="M","Concrete Pavement 200 mm","Concrete Pavement 8 inches")</f>
        <v>Concrete Pavement 8 inches</v>
      </c>
      <c r="M32" s="5">
        <f>IF($F$5="M",0.72,0.6)</f>
        <v>0.6</v>
      </c>
      <c r="O32" s="50"/>
      <c r="P32" s="5"/>
    </row>
    <row r="33" spans="1:16" ht="22.5" customHeight="1">
      <c r="A33" s="26"/>
      <c r="B33" s="31"/>
      <c r="C33" s="61">
        <f t="shared" si="1"/>
      </c>
      <c r="D33" s="16"/>
      <c r="E33" s="29">
        <f t="shared" si="2"/>
      </c>
      <c r="F33" s="30">
        <f t="shared" si="0"/>
      </c>
      <c r="G33" s="62">
        <f t="shared" si="4"/>
      </c>
      <c r="H33" s="62">
        <f t="shared" si="3"/>
      </c>
      <c r="I33" s="55"/>
      <c r="J33" s="55"/>
      <c r="K33" s="6"/>
      <c r="L33" s="4" t="str">
        <f>IF($F$5="M","Concrete Pavement 220 mm","Concrete Pavement 8 1/2 inches")</f>
        <v>Concrete Pavement 8 1/2 inches</v>
      </c>
      <c r="M33" s="5">
        <f>IF($F$5="M",0.76,0.63)</f>
        <v>0.63</v>
      </c>
      <c r="N33" s="6"/>
      <c r="O33" s="50"/>
      <c r="P33" s="50"/>
    </row>
    <row r="34" spans="1:16" ht="22.5" customHeight="1">
      <c r="A34" s="26"/>
      <c r="B34" s="31"/>
      <c r="C34" s="61">
        <f t="shared" si="1"/>
      </c>
      <c r="D34" s="16"/>
      <c r="E34" s="29">
        <f t="shared" si="2"/>
      </c>
      <c r="F34" s="30">
        <f t="shared" si="0"/>
      </c>
      <c r="G34" s="62">
        <f t="shared" si="4"/>
      </c>
      <c r="H34" s="62">
        <f t="shared" si="3"/>
      </c>
      <c r="I34" s="55"/>
      <c r="J34" s="55"/>
      <c r="K34" s="7"/>
      <c r="L34" s="4" t="str">
        <f>IF($F$5="M","Concrete Pavement 230 mm","Concrete Pavement 9 inches")</f>
        <v>Concrete Pavement 9 inches</v>
      </c>
      <c r="M34" s="5">
        <f>IF($F$5="M",0.79,0.66)</f>
        <v>0.66</v>
      </c>
      <c r="N34" s="6"/>
      <c r="O34" s="50"/>
      <c r="P34" s="50"/>
    </row>
    <row r="35" spans="1:16" ht="22.5" customHeight="1">
      <c r="A35" s="26"/>
      <c r="B35" s="31"/>
      <c r="C35" s="61">
        <f t="shared" si="1"/>
      </c>
      <c r="D35" s="16"/>
      <c r="E35" s="29">
        <f t="shared" si="2"/>
      </c>
      <c r="F35" s="30">
        <f t="shared" si="0"/>
      </c>
      <c r="G35" s="62">
        <f t="shared" si="4"/>
      </c>
      <c r="H35" s="62">
        <f t="shared" si="3"/>
      </c>
      <c r="I35" s="55"/>
      <c r="J35" s="55"/>
      <c r="K35" s="7"/>
      <c r="L35" s="4" t="str">
        <f>IF($F$5="M","Concrete Pavement 240 mm","Concrete Pavement 9 1/2 inches")</f>
        <v>Concrete Pavement 9 1/2 inches</v>
      </c>
      <c r="M35" s="5">
        <f>IF($F$5="M",0.82,0.69)</f>
        <v>0.69</v>
      </c>
      <c r="N35" s="6"/>
      <c r="O35" s="50"/>
      <c r="P35" s="50"/>
    </row>
    <row r="36" spans="1:16" ht="22.5" customHeight="1">
      <c r="A36" s="26"/>
      <c r="B36" s="31"/>
      <c r="C36" s="61">
        <f t="shared" si="1"/>
      </c>
      <c r="D36" s="16"/>
      <c r="E36" s="29">
        <f t="shared" si="2"/>
      </c>
      <c r="F36" s="30">
        <f t="shared" si="0"/>
      </c>
      <c r="G36" s="62">
        <f t="shared" si="4"/>
      </c>
      <c r="H36" s="62">
        <f t="shared" si="3"/>
      </c>
      <c r="I36" s="55"/>
      <c r="J36" s="55"/>
      <c r="K36" s="7"/>
      <c r="L36" s="4" t="str">
        <f>IF($F$5="M","Concrete Pavement 250 mm","Concrete Pavement 10 inches")</f>
        <v>Concrete Pavement 10 inches</v>
      </c>
      <c r="M36" s="5">
        <f>IF($F$5="M",0.86,0.72)</f>
        <v>0.72</v>
      </c>
      <c r="N36" s="6"/>
      <c r="O36" s="50"/>
      <c r="P36" s="50"/>
    </row>
    <row r="37" spans="1:16" ht="22.5" customHeight="1">
      <c r="A37" s="26"/>
      <c r="B37" s="31"/>
      <c r="C37" s="61">
        <f t="shared" si="1"/>
      </c>
      <c r="D37" s="16"/>
      <c r="E37" s="29">
        <f t="shared" si="2"/>
      </c>
      <c r="F37" s="30">
        <f t="shared" si="0"/>
      </c>
      <c r="G37" s="62">
        <f t="shared" si="4"/>
      </c>
      <c r="H37" s="62">
        <f t="shared" si="3"/>
      </c>
      <c r="I37" s="55"/>
      <c r="J37" s="55"/>
      <c r="K37" s="7"/>
      <c r="L37" s="4">
        <f>IF(F5="M","Concrete Pavement 260 mm","")</f>
      </c>
      <c r="M37" s="5">
        <v>0.86</v>
      </c>
      <c r="N37" s="6"/>
      <c r="O37" s="50"/>
      <c r="P37" s="50"/>
    </row>
    <row r="38" spans="1:16" ht="22.5" customHeight="1">
      <c r="A38" s="26"/>
      <c r="B38" s="31"/>
      <c r="C38" s="61">
        <f t="shared" si="1"/>
      </c>
      <c r="D38" s="16"/>
      <c r="E38" s="29">
        <f t="shared" si="2"/>
      </c>
      <c r="F38" s="30">
        <f t="shared" si="0"/>
      </c>
      <c r="G38" s="62">
        <f t="shared" si="4"/>
      </c>
      <c r="H38" s="62">
        <f t="shared" si="3"/>
      </c>
      <c r="I38" s="55"/>
      <c r="J38" s="55"/>
      <c r="K38" s="7"/>
      <c r="L38" s="4" t="str">
        <f>IF($F$5="M","Concrete Pavement 270 mm","Concrete Pavement 10 1/2 inches")</f>
        <v>Concrete Pavement 10 1/2 inches</v>
      </c>
      <c r="M38" s="5">
        <f>IF($F$5="M",0.89,0.75)</f>
        <v>0.75</v>
      </c>
      <c r="N38" s="6"/>
      <c r="O38" s="50"/>
      <c r="P38" s="50"/>
    </row>
    <row r="39" spans="1:16" ht="22.5" customHeight="1">
      <c r="A39" s="39"/>
      <c r="B39" s="40"/>
      <c r="C39" s="32"/>
      <c r="D39" s="32"/>
      <c r="E39" s="33"/>
      <c r="F39" s="34"/>
      <c r="G39" s="35"/>
      <c r="H39" s="36" t="s">
        <v>66</v>
      </c>
      <c r="I39" s="47"/>
      <c r="J39" s="55"/>
      <c r="K39" s="7"/>
      <c r="L39" s="4" t="str">
        <f>IF($F$5="M","Concrete Pavement 280 mm","Concrete Pavement 11 inches")</f>
        <v>Concrete Pavement 11 inches</v>
      </c>
      <c r="M39" s="5">
        <f>IF($F$5="M",0.93,0.78)</f>
        <v>0.78</v>
      </c>
      <c r="N39" s="6"/>
      <c r="O39" s="50"/>
      <c r="P39" s="50"/>
    </row>
    <row r="40" spans="9:14" ht="12.75">
      <c r="I40" s="41"/>
      <c r="J40" s="41"/>
      <c r="K40" s="7"/>
      <c r="L40" s="4" t="str">
        <f>IF($F$5="M","Concrete Pavement 290 mm","Concrete Pavement 11 1/2 inches")</f>
        <v>Concrete Pavement 11 1/2 inches</v>
      </c>
      <c r="M40" s="5">
        <f>IF($F$5="M",0.96,0.81)</f>
        <v>0.81</v>
      </c>
      <c r="N40" s="6"/>
    </row>
    <row r="41" spans="1:14" ht="12.75">
      <c r="A41" s="42"/>
      <c r="B41" s="43"/>
      <c r="C41" s="44"/>
      <c r="D41" s="44"/>
      <c r="E41" s="45"/>
      <c r="F41" s="46"/>
      <c r="G41" s="47"/>
      <c r="H41" s="47"/>
      <c r="I41" s="47"/>
      <c r="J41" s="47"/>
      <c r="K41" s="7"/>
      <c r="L41" s="4" t="str">
        <f>IF($F$5="M","Concrete Pavement 300 mm","Concrete Pavement 12 inches")</f>
        <v>Concrete Pavement 12 inches</v>
      </c>
      <c r="M41" s="5">
        <f>IF($F$5="M",0.99,0.83)</f>
        <v>0.83</v>
      </c>
      <c r="N41" s="6"/>
    </row>
    <row r="42" spans="1:14" ht="12.75">
      <c r="A42" s="42"/>
      <c r="B42" s="43"/>
      <c r="C42" s="44"/>
      <c r="D42" s="44"/>
      <c r="E42" s="45"/>
      <c r="F42" s="46"/>
      <c r="G42" s="47"/>
      <c r="H42" s="47"/>
      <c r="I42" s="47"/>
      <c r="J42" s="47"/>
      <c r="K42" s="7"/>
      <c r="L42" s="4" t="str">
        <f>IF($F$5="M","Concrete Pavement 320 mm","Concrete Pavement 12 1/2 inches")</f>
        <v>Concrete Pavement 12 1/2 inches</v>
      </c>
      <c r="M42" s="5">
        <f>IF($F$5="M",1.02,0.86)</f>
        <v>0.86</v>
      </c>
      <c r="N42" s="6"/>
    </row>
    <row r="43" spans="1:14" ht="12.75">
      <c r="A43" s="42"/>
      <c r="B43" s="43"/>
      <c r="C43" s="44"/>
      <c r="D43" s="44"/>
      <c r="E43" s="45"/>
      <c r="F43" s="46"/>
      <c r="G43" s="47"/>
      <c r="H43" s="47"/>
      <c r="I43" s="47"/>
      <c r="J43" s="47"/>
      <c r="K43" s="7"/>
      <c r="L43" s="4" t="str">
        <f>IF($F$5="M","Concrete Pavement 330 mm","Concrete Pavement 13 inches")</f>
        <v>Concrete Pavement 13 inches</v>
      </c>
      <c r="M43" s="5">
        <f>IF($F$5="M",1.06,0.89)</f>
        <v>0.89</v>
      </c>
      <c r="N43" s="6"/>
    </row>
    <row r="44" spans="1:14" ht="12.75">
      <c r="A44" s="42"/>
      <c r="B44" s="43"/>
      <c r="C44" s="44"/>
      <c r="D44" s="44"/>
      <c r="E44" s="45"/>
      <c r="F44" s="46"/>
      <c r="G44" s="47"/>
      <c r="H44" s="47"/>
      <c r="I44" s="47"/>
      <c r="J44" s="47"/>
      <c r="K44" s="7"/>
      <c r="L44" s="4" t="str">
        <f>IF($F$5="M","Concrete Pavement 340 mm","Concrete Pavement 13 1/2 inches")</f>
        <v>Concrete Pavement 13 1/2 inches</v>
      </c>
      <c r="M44" s="5">
        <f>IF($F$5="M",1.1,0.92)</f>
        <v>0.92</v>
      </c>
      <c r="N44" s="6"/>
    </row>
    <row r="45" spans="1:14" ht="12.75">
      <c r="A45" s="42"/>
      <c r="B45" s="43"/>
      <c r="C45" s="44"/>
      <c r="D45" s="44"/>
      <c r="E45" s="45"/>
      <c r="F45" s="46"/>
      <c r="G45" s="47"/>
      <c r="H45" s="47"/>
      <c r="I45" s="47"/>
      <c r="J45" s="47"/>
      <c r="K45" s="7"/>
      <c r="L45" s="4" t="str">
        <f>IF($F$5="M","Concrete Pavement 360 mm","Concrete Pavement 14 inches")</f>
        <v>Concrete Pavement 14 inches</v>
      </c>
      <c r="M45" s="5">
        <f>IF($F$5="M",1.14,0.95)</f>
        <v>0.95</v>
      </c>
      <c r="N45" s="6"/>
    </row>
    <row r="46" spans="1:14" ht="12.75">
      <c r="A46" s="48"/>
      <c r="B46" s="48"/>
      <c r="C46" s="48"/>
      <c r="D46" s="48"/>
      <c r="E46" s="49"/>
      <c r="F46" s="48"/>
      <c r="G46" s="48"/>
      <c r="H46" s="48"/>
      <c r="I46" s="48"/>
      <c r="J46" s="48"/>
      <c r="K46" s="7"/>
      <c r="L46" s="4" t="str">
        <f>IF($F$5="M","Concrete Pavement 370 mm","Concrete Pavement 14 1/2 inches")</f>
        <v>Concrete Pavement 14 1/2 inches</v>
      </c>
      <c r="M46" s="5">
        <f>IF($F$5="M",1.17,0.98)</f>
        <v>0.98</v>
      </c>
      <c r="N46" s="6"/>
    </row>
    <row r="47" spans="1:14" ht="12.75">
      <c r="A47" s="50"/>
      <c r="B47" s="50"/>
      <c r="C47" s="50"/>
      <c r="D47" s="50"/>
      <c r="E47" s="51"/>
      <c r="F47" s="50"/>
      <c r="G47" s="50"/>
      <c r="H47" s="50"/>
      <c r="I47" s="50"/>
      <c r="J47" s="50"/>
      <c r="K47" s="7"/>
      <c r="L47" s="4" t="s">
        <v>60</v>
      </c>
      <c r="M47" s="5">
        <f>IF($F$5="M",334.65,10.2)</f>
        <v>10.2</v>
      </c>
      <c r="N47" s="6"/>
    </row>
    <row r="48" spans="1:14" ht="12.75">
      <c r="A48" s="50"/>
      <c r="B48" s="50"/>
      <c r="C48" s="50"/>
      <c r="D48" s="50"/>
      <c r="E48" s="51"/>
      <c r="F48" s="50"/>
      <c r="G48" s="50"/>
      <c r="H48" s="50"/>
      <c r="I48" s="50"/>
      <c r="J48" s="50"/>
      <c r="K48" s="7"/>
      <c r="L48" s="4" t="s">
        <v>59</v>
      </c>
      <c r="M48" s="5">
        <f>IF($F$5="M",2.65,2.4)</f>
        <v>2.4</v>
      </c>
      <c r="N48" s="6"/>
    </row>
    <row r="49" spans="1:14" ht="12.75">
      <c r="A49" s="50"/>
      <c r="B49" s="50"/>
      <c r="C49" s="50"/>
      <c r="D49" s="50"/>
      <c r="E49" s="51"/>
      <c r="F49" s="50"/>
      <c r="G49" s="50"/>
      <c r="H49" s="50"/>
      <c r="I49" s="50"/>
      <c r="J49" s="50"/>
      <c r="K49" s="7"/>
      <c r="L49" s="4" t="s">
        <v>64</v>
      </c>
      <c r="M49" s="5">
        <f>IF($F$5="M",2.65,2.4)</f>
        <v>2.4</v>
      </c>
      <c r="N49" s="6"/>
    </row>
    <row r="50" spans="1:14" ht="12.75">
      <c r="A50" s="50"/>
      <c r="B50" s="50"/>
      <c r="C50" s="50"/>
      <c r="D50" s="50"/>
      <c r="E50" s="51"/>
      <c r="F50" s="50"/>
      <c r="G50" s="50"/>
      <c r="H50" s="50"/>
      <c r="I50" s="50"/>
      <c r="J50" s="50"/>
      <c r="K50" s="7"/>
      <c r="L50" s="4" t="s">
        <v>65</v>
      </c>
      <c r="M50" s="5">
        <f>IF($F$5="M",2.65,2.4)</f>
        <v>2.4</v>
      </c>
      <c r="N50" s="6"/>
    </row>
    <row r="51" spans="11:13" ht="12.75">
      <c r="K51" s="7"/>
      <c r="L51" s="4"/>
      <c r="M51" s="5"/>
    </row>
    <row r="52" spans="11:13" ht="12.75">
      <c r="K52" s="7"/>
      <c r="L52" s="6"/>
      <c r="M52" s="6"/>
    </row>
    <row r="53" spans="11:13" ht="12.75">
      <c r="K53" s="7"/>
      <c r="L53" s="37"/>
      <c r="M53" s="37"/>
    </row>
    <row r="54" spans="11:13" ht="12.75">
      <c r="K54" s="7"/>
      <c r="L54" s="37"/>
      <c r="M54" s="37"/>
    </row>
    <row r="55" spans="12:13" ht="12.75">
      <c r="L55" s="37"/>
      <c r="M55" s="37"/>
    </row>
    <row r="56" spans="12:13" ht="12.75">
      <c r="L56" s="37"/>
      <c r="M56" s="37"/>
    </row>
    <row r="57" spans="12:13" ht="12.75">
      <c r="L57" s="37"/>
      <c r="M57" s="37"/>
    </row>
    <row r="58" spans="12:13" ht="12.75">
      <c r="L58" s="37"/>
      <c r="M58" s="37"/>
    </row>
    <row r="59" spans="12:13" ht="12.75">
      <c r="L59" s="37"/>
      <c r="M59" s="37"/>
    </row>
    <row r="60" spans="12:13" ht="12.75">
      <c r="L60" s="37"/>
      <c r="M60" s="37"/>
    </row>
    <row r="61" spans="12:13" ht="12.75">
      <c r="L61" s="37"/>
      <c r="M61" s="37"/>
    </row>
    <row r="62" spans="12:13" ht="12.75">
      <c r="L62" s="37"/>
      <c r="M62" s="37"/>
    </row>
    <row r="63" spans="12:13" ht="12.75">
      <c r="L63" s="37"/>
      <c r="M63" s="37"/>
    </row>
    <row r="64" spans="12:13" ht="12.75">
      <c r="L64" s="37"/>
      <c r="M64" s="37"/>
    </row>
    <row r="65" spans="12:13" ht="12.75">
      <c r="L65" s="37"/>
      <c r="M65" s="37"/>
    </row>
    <row r="66" spans="12:13" ht="12.75">
      <c r="L66" s="37"/>
      <c r="M66" s="37"/>
    </row>
    <row r="67" spans="12:13" ht="12.75">
      <c r="L67" s="37"/>
      <c r="M67" s="37"/>
    </row>
    <row r="68" spans="12:13" ht="12.75">
      <c r="L68" s="37"/>
      <c r="M68" s="37"/>
    </row>
    <row r="69" spans="12:13" ht="12.75">
      <c r="L69" s="37"/>
      <c r="M69" s="37"/>
    </row>
    <row r="70" ht="12.75">
      <c r="L70" s="37"/>
    </row>
    <row r="71" ht="12.75">
      <c r="L71" s="37"/>
    </row>
    <row r="72" ht="12.75">
      <c r="L72" s="37"/>
    </row>
  </sheetData>
  <sheetProtection password="BF11" sheet="1" objects="1" scenarios="1" selectLockedCells="1"/>
  <mergeCells count="4">
    <mergeCell ref="F3:H3"/>
    <mergeCell ref="F4:H4"/>
    <mergeCell ref="D5:E5"/>
    <mergeCell ref="B6:E6"/>
  </mergeCells>
  <dataValidations count="1">
    <dataValidation type="list" allowBlank="1" showInputMessage="1" showErrorMessage="1" promptTitle="Data Entry Restriction!" prompt="Please select one item from this drop down box. No other values will be accepted." errorTitle="Wrong data!" error="Please enter a value from the drop down list." sqref="B6:E6">
      <formula1>$L$7:$L$50</formula1>
    </dataValidation>
  </dataValidations>
  <printOptions/>
  <pageMargins left="1.06" right="0.5" top="0.5" bottom="0" header="0.5" footer="0"/>
  <pageSetup blackAndWhite="1" fitToHeight="1" fitToWidth="1" horizontalDpi="600" verticalDpi="600" orientation="portrait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"/>
  <sheetViews>
    <sheetView showGridLines="0" showRowColHeaders="0" zoomScalePageLayoutView="0" workbookViewId="0" topLeftCell="A1">
      <selection activeCell="B6" sqref="B6:E6"/>
    </sheetView>
  </sheetViews>
  <sheetFormatPr defaultColWidth="9.140625" defaultRowHeight="12.75"/>
  <cols>
    <col min="1" max="1" width="13.00390625" style="0" customWidth="1"/>
    <col min="2" max="2" width="13.28125" style="0" customWidth="1"/>
    <col min="3" max="3" width="9.00390625" style="0" customWidth="1"/>
    <col min="4" max="4" width="9.28125" style="0" customWidth="1"/>
    <col min="5" max="5" width="11.00390625" style="1" customWidth="1"/>
    <col min="6" max="6" width="10.57421875" style="0" customWidth="1"/>
    <col min="7" max="8" width="16.00390625" style="0" bestFit="1" customWidth="1"/>
    <col min="11" max="11" width="3.57421875" style="0" customWidth="1"/>
    <col min="12" max="12" width="47.00390625" style="0" hidden="1" customWidth="1"/>
    <col min="13" max="13" width="8.28125" style="0" hidden="1" customWidth="1"/>
    <col min="14" max="14" width="7.140625" style="0" customWidth="1"/>
    <col min="15" max="16" width="9.140625" style="0" customWidth="1"/>
  </cols>
  <sheetData>
    <row r="1" spans="1:16" ht="15">
      <c r="A1" s="8"/>
      <c r="B1" s="8"/>
      <c r="C1" s="9" t="s">
        <v>67</v>
      </c>
      <c r="D1" s="8"/>
      <c r="E1" s="10"/>
      <c r="F1" s="8"/>
      <c r="G1" s="8"/>
      <c r="H1" s="8"/>
      <c r="I1" s="52"/>
      <c r="J1" s="52"/>
      <c r="K1" s="50"/>
      <c r="L1" s="50"/>
      <c r="M1" s="50"/>
      <c r="N1" s="50"/>
      <c r="O1" s="50"/>
      <c r="P1" s="50"/>
    </row>
    <row r="2" spans="1:16" ht="17.25" customHeight="1">
      <c r="A2" s="8"/>
      <c r="B2" s="8"/>
      <c r="C2" s="8"/>
      <c r="D2" s="8"/>
      <c r="E2" s="10"/>
      <c r="F2" s="8"/>
      <c r="G2" s="8"/>
      <c r="H2" s="8"/>
      <c r="I2" s="52"/>
      <c r="J2" s="52"/>
      <c r="K2" s="50"/>
      <c r="L2" s="50"/>
      <c r="M2" s="50"/>
      <c r="N2" s="50"/>
      <c r="O2" s="50"/>
      <c r="P2" s="50"/>
    </row>
    <row r="3" spans="1:16" ht="21" customHeight="1">
      <c r="A3" s="11"/>
      <c r="B3" s="12"/>
      <c r="C3" s="11"/>
      <c r="D3" s="11"/>
      <c r="E3" s="63" t="s">
        <v>42</v>
      </c>
      <c r="F3" s="97">
        <f>IF('Item 1'!F3:H3="","",'Item 1'!F3:H3)</f>
      </c>
      <c r="G3" s="97"/>
      <c r="H3" s="97"/>
      <c r="I3" s="53"/>
      <c r="J3" s="53"/>
      <c r="K3" s="50"/>
      <c r="L3" s="50"/>
      <c r="M3" s="50"/>
      <c r="N3" s="50"/>
      <c r="O3" s="50"/>
      <c r="P3" s="50"/>
    </row>
    <row r="4" spans="1:16" ht="21" customHeight="1">
      <c r="A4" s="13" t="s">
        <v>43</v>
      </c>
      <c r="B4" s="82">
        <f>IF('Item 1'!B4="","",'Item 1'!B4)</f>
      </c>
      <c r="C4" s="38"/>
      <c r="D4" s="11"/>
      <c r="E4" s="64" t="s">
        <v>41</v>
      </c>
      <c r="F4" s="98">
        <f>IF('Item 1'!F4:H4="","",'Item 1'!F4:H4)</f>
      </c>
      <c r="G4" s="99"/>
      <c r="H4" s="100"/>
      <c r="I4" s="53"/>
      <c r="J4" s="53"/>
      <c r="K4" s="50"/>
      <c r="L4" s="57"/>
      <c r="M4" s="50"/>
      <c r="N4" s="50"/>
      <c r="O4" s="50"/>
      <c r="P4" s="50"/>
    </row>
    <row r="5" spans="1:16" ht="21" customHeight="1">
      <c r="A5" s="79" t="s">
        <v>44</v>
      </c>
      <c r="B5" s="15"/>
      <c r="C5" s="81">
        <f>IF('Item 1'!C5="","",'Item 1'!C5)</f>
      </c>
      <c r="D5" s="95" t="s">
        <v>46</v>
      </c>
      <c r="E5" s="96"/>
      <c r="F5" s="80">
        <f>IF('Item 1'!F5="","",'Item 1'!F5)</f>
      </c>
      <c r="G5" s="65" t="s">
        <v>45</v>
      </c>
      <c r="H5" s="60">
        <f>IF(B6="","",VLOOKUP(B6,L7:M50,2,FALSE))</f>
      </c>
      <c r="I5" s="53"/>
      <c r="J5" s="53"/>
      <c r="K5" s="4"/>
      <c r="L5" s="56"/>
      <c r="N5" s="4"/>
      <c r="O5" s="50"/>
      <c r="P5" s="50"/>
    </row>
    <row r="6" spans="1:16" ht="21" customHeight="1">
      <c r="A6" s="79" t="s">
        <v>20</v>
      </c>
      <c r="B6" s="88"/>
      <c r="C6" s="89"/>
      <c r="D6" s="89"/>
      <c r="E6" s="90"/>
      <c r="F6" s="58"/>
      <c r="H6" s="59"/>
      <c r="I6" s="53"/>
      <c r="J6" s="53"/>
      <c r="K6" s="4"/>
      <c r="L6" s="4" t="s">
        <v>21</v>
      </c>
      <c r="M6" s="4" t="s">
        <v>37</v>
      </c>
      <c r="O6" s="50"/>
      <c r="P6" s="4"/>
    </row>
    <row r="7" spans="1:16" ht="12.75">
      <c r="A7" s="11"/>
      <c r="B7" s="11"/>
      <c r="C7" s="17"/>
      <c r="D7" s="11"/>
      <c r="E7" s="7"/>
      <c r="F7" s="11"/>
      <c r="G7" s="11"/>
      <c r="H7" s="11"/>
      <c r="I7" s="53"/>
      <c r="J7" s="53"/>
      <c r="K7" s="4"/>
      <c r="L7" s="4" t="s">
        <v>22</v>
      </c>
      <c r="M7" s="5">
        <f>IF($F$5="M",0.33,0.25)</f>
        <v>0.25</v>
      </c>
      <c r="O7" s="50"/>
      <c r="P7" s="5"/>
    </row>
    <row r="8" spans="1:16" ht="12.75">
      <c r="A8" s="18" t="s">
        <v>0</v>
      </c>
      <c r="B8" s="18" t="s">
        <v>18</v>
      </c>
      <c r="C8" s="19" t="s">
        <v>2</v>
      </c>
      <c r="D8" s="18" t="s">
        <v>5</v>
      </c>
      <c r="E8" s="20" t="s">
        <v>8</v>
      </c>
      <c r="F8" s="18" t="s">
        <v>10</v>
      </c>
      <c r="G8" s="18" t="s">
        <v>13</v>
      </c>
      <c r="H8" s="18" t="s">
        <v>8</v>
      </c>
      <c r="I8" s="54"/>
      <c r="J8" s="54"/>
      <c r="K8" s="4"/>
      <c r="L8" s="4" t="s">
        <v>61</v>
      </c>
      <c r="M8" s="5">
        <f>IF($F$5="M",0.33,0.25)</f>
        <v>0.25</v>
      </c>
      <c r="O8" s="50"/>
      <c r="P8" s="5"/>
    </row>
    <row r="9" spans="1:16" ht="12.75">
      <c r="A9" s="21"/>
      <c r="B9" s="22" t="s">
        <v>16</v>
      </c>
      <c r="C9" s="22" t="s">
        <v>3</v>
      </c>
      <c r="D9" s="22" t="s">
        <v>6</v>
      </c>
      <c r="E9" s="23"/>
      <c r="F9" s="22" t="s">
        <v>11</v>
      </c>
      <c r="G9" s="22" t="s">
        <v>14</v>
      </c>
      <c r="H9" s="22" t="s">
        <v>9</v>
      </c>
      <c r="I9" s="54"/>
      <c r="J9" s="54"/>
      <c r="K9" s="4"/>
      <c r="L9" s="4" t="s">
        <v>19</v>
      </c>
      <c r="M9" s="5">
        <f>IF($F$5="M",0.43,0.33)</f>
        <v>0.33</v>
      </c>
      <c r="O9" s="50"/>
      <c r="P9" s="5"/>
    </row>
    <row r="10" spans="1:16" ht="12.75">
      <c r="A10" s="24" t="s">
        <v>1</v>
      </c>
      <c r="B10" s="24" t="s">
        <v>17</v>
      </c>
      <c r="C10" s="24" t="s">
        <v>4</v>
      </c>
      <c r="D10" s="24" t="s">
        <v>7</v>
      </c>
      <c r="E10" s="25" t="s">
        <v>9</v>
      </c>
      <c r="F10" s="24" t="s">
        <v>12</v>
      </c>
      <c r="G10" s="24" t="s">
        <v>15</v>
      </c>
      <c r="H10" s="24" t="s">
        <v>15</v>
      </c>
      <c r="I10" s="54"/>
      <c r="J10" s="54"/>
      <c r="K10" s="4"/>
      <c r="L10" s="4" t="s">
        <v>62</v>
      </c>
      <c r="M10" s="5">
        <f>IF($F$5="M",0.43,0.33)</f>
        <v>0.33</v>
      </c>
      <c r="O10" s="50"/>
      <c r="P10" s="5"/>
    </row>
    <row r="11" spans="1:16" ht="22.5" customHeight="1">
      <c r="A11" s="26"/>
      <c r="B11" s="27"/>
      <c r="C11" s="61">
        <f>IF(H5="","",ABS($H$5))</f>
      </c>
      <c r="D11" s="28"/>
      <c r="E11" s="29">
        <f>IF(D11="","",+D11)</f>
      </c>
      <c r="F11" s="30">
        <f>+IF(B11="","",(B11-$C$5))</f>
      </c>
      <c r="G11" s="62">
        <f>IF(C11="","",IF(F11="","",+C11*D11*F11))</f>
      </c>
      <c r="H11" s="62">
        <f>+G11</f>
      </c>
      <c r="I11" s="54"/>
      <c r="J11" s="54"/>
      <c r="K11" s="4"/>
      <c r="L11" s="4" t="s">
        <v>24</v>
      </c>
      <c r="M11" s="5">
        <f>IF($F$5="M",0.38,0.29)</f>
        <v>0.29</v>
      </c>
      <c r="O11" s="50"/>
      <c r="P11" s="5"/>
    </row>
    <row r="12" spans="1:16" ht="22.5" customHeight="1">
      <c r="A12" s="26"/>
      <c r="B12" s="31"/>
      <c r="C12" s="61">
        <f>IF(B12="","",ABS($H$5))</f>
      </c>
      <c r="D12" s="16"/>
      <c r="E12" s="29">
        <f>IF(D12="","",+D12+E11)</f>
      </c>
      <c r="F12" s="30">
        <f aca="true" t="shared" si="0" ref="F12:F38">+IF(B12="","",(B12-$C$5))</f>
      </c>
      <c r="G12" s="62">
        <f>IF(C12="","",IF(F12="","",+C12*D12*F12))</f>
      </c>
      <c r="H12" s="62">
        <f>IF(G12="","",+H11+G12)</f>
      </c>
      <c r="I12" s="55"/>
      <c r="J12" s="55"/>
      <c r="K12" s="4"/>
      <c r="L12" s="4" t="s">
        <v>25</v>
      </c>
      <c r="M12" s="5">
        <f>IF($F$5="M",0.39,0.3)</f>
        <v>0.3</v>
      </c>
      <c r="O12" s="50"/>
      <c r="P12" s="5"/>
    </row>
    <row r="13" spans="1:16" ht="22.5" customHeight="1">
      <c r="A13" s="26"/>
      <c r="B13" s="31"/>
      <c r="C13" s="61">
        <f aca="true" t="shared" si="1" ref="C13:C38">IF(B13="","",ABS($H$5))</f>
      </c>
      <c r="D13" s="16"/>
      <c r="E13" s="29">
        <f aca="true" t="shared" si="2" ref="E13:E38">IF(D13="","",+D13+E12)</f>
      </c>
      <c r="F13" s="30">
        <f t="shared" si="0"/>
      </c>
      <c r="G13" s="62">
        <f>IF(C13="","",IF(F13="","",+C13*D13*F13))</f>
      </c>
      <c r="H13" s="62">
        <f aca="true" t="shared" si="3" ref="H13:H38">IF(G13="","",+H12+G13)</f>
      </c>
      <c r="I13" s="55"/>
      <c r="J13" s="55"/>
      <c r="K13" s="4"/>
      <c r="L13" s="4" t="s">
        <v>63</v>
      </c>
      <c r="M13" s="5">
        <f>IF($F$5="M",0.36,0.3)</f>
        <v>0.3</v>
      </c>
      <c r="O13" s="50"/>
      <c r="P13" s="5"/>
    </row>
    <row r="14" spans="1:16" ht="22.5" customHeight="1">
      <c r="A14" s="26"/>
      <c r="B14" s="31"/>
      <c r="C14" s="61">
        <f t="shared" si="1"/>
      </c>
      <c r="D14" s="16"/>
      <c r="E14" s="29">
        <f t="shared" si="2"/>
      </c>
      <c r="F14" s="30">
        <f t="shared" si="0"/>
      </c>
      <c r="G14" s="62">
        <f>IF(C14="","",IF(F14="","",+C14*D14*F14))</f>
      </c>
      <c r="H14" s="62">
        <f t="shared" si="3"/>
      </c>
      <c r="I14" s="55"/>
      <c r="J14" s="55"/>
      <c r="K14" s="66"/>
      <c r="L14" s="4" t="str">
        <f>IF($F$5="M","Concrete Placement:  75mm","Concrete Placement:  3 inches")</f>
        <v>Concrete Placement:  3 inches</v>
      </c>
      <c r="M14" s="5">
        <f>IF($F$5="M",0.36,0.3)</f>
        <v>0.3</v>
      </c>
      <c r="O14" s="50"/>
      <c r="P14" s="67"/>
    </row>
    <row r="15" spans="1:16" ht="22.5" customHeight="1">
      <c r="A15" s="26"/>
      <c r="B15" s="31"/>
      <c r="C15" s="61">
        <f t="shared" si="1"/>
      </c>
      <c r="D15" s="16"/>
      <c r="E15" s="29">
        <f t="shared" si="2"/>
      </c>
      <c r="F15" s="30">
        <f t="shared" si="0"/>
      </c>
      <c r="G15" s="62">
        <f>IF(C15="","",IF(F15="","",+C15*D15*F15))</f>
      </c>
      <c r="H15" s="62">
        <f t="shared" si="3"/>
      </c>
      <c r="I15" s="55"/>
      <c r="J15" s="55"/>
      <c r="K15" s="66"/>
      <c r="L15" s="4" t="str">
        <f>IF($F$5="M","","Concrete Placement:  3.5 inches")</f>
        <v>Concrete Placement:  3.5 inches</v>
      </c>
      <c r="M15" s="5">
        <f>IF($F$5="M",0.39,0.33)</f>
        <v>0.33</v>
      </c>
      <c r="O15" s="50"/>
      <c r="P15" s="67"/>
    </row>
    <row r="16" spans="1:16" ht="22.5" customHeight="1">
      <c r="A16" s="26"/>
      <c r="B16" s="31"/>
      <c r="C16" s="61">
        <f t="shared" si="1"/>
      </c>
      <c r="D16" s="16"/>
      <c r="E16" s="29">
        <f t="shared" si="2"/>
      </c>
      <c r="F16" s="30">
        <f t="shared" si="0"/>
      </c>
      <c r="G16" s="62">
        <f aca="true" t="shared" si="4" ref="G16:G38">IF(F16="","",+C16*D16*F16)</f>
      </c>
      <c r="H16" s="62">
        <f t="shared" si="3"/>
      </c>
      <c r="I16" s="55"/>
      <c r="J16" s="55"/>
      <c r="K16" s="4"/>
      <c r="L16" s="4" t="str">
        <f>IF($F$5="M","Concrete Placement:  100mm","Concrete Placement:  4 inches")</f>
        <v>Concrete Placement:  4 inches</v>
      </c>
      <c r="M16" s="5">
        <f>IF($F$5="M",0.43,0.36)</f>
        <v>0.36</v>
      </c>
      <c r="O16" s="50"/>
      <c r="P16" s="5"/>
    </row>
    <row r="17" spans="1:16" ht="22.5" customHeight="1">
      <c r="A17" s="26"/>
      <c r="B17" s="31"/>
      <c r="C17" s="61">
        <f t="shared" si="1"/>
      </c>
      <c r="D17" s="16"/>
      <c r="E17" s="29">
        <f t="shared" si="2"/>
      </c>
      <c r="F17" s="30">
        <f t="shared" si="0"/>
      </c>
      <c r="G17" s="62">
        <f t="shared" si="4"/>
      </c>
      <c r="H17" s="62">
        <f t="shared" si="3"/>
      </c>
      <c r="I17" s="55"/>
      <c r="J17" s="55"/>
      <c r="K17" s="66"/>
      <c r="L17" s="4" t="str">
        <f>IF($F$5="M","","Concrete Placement:  4.5 inches")</f>
        <v>Concrete Placement:  4.5 inches</v>
      </c>
      <c r="M17" s="5">
        <f>IF($F$5="M",0.46,0.39)</f>
        <v>0.39</v>
      </c>
      <c r="O17" s="50"/>
      <c r="P17" s="67"/>
    </row>
    <row r="18" spans="1:16" ht="22.5" customHeight="1">
      <c r="A18" s="26"/>
      <c r="B18" s="31"/>
      <c r="C18" s="61">
        <f t="shared" si="1"/>
      </c>
      <c r="D18" s="16"/>
      <c r="E18" s="29">
        <f t="shared" si="2"/>
      </c>
      <c r="F18" s="30">
        <f t="shared" si="0"/>
      </c>
      <c r="G18" s="62">
        <f t="shared" si="4"/>
      </c>
      <c r="H18" s="62">
        <f t="shared" si="3"/>
      </c>
      <c r="I18" s="55"/>
      <c r="J18" s="55"/>
      <c r="K18" s="4"/>
      <c r="L18" s="4" t="str">
        <f>IF($F$5="M","Concrete Placement:  140mm","Concrete Placement:  5 inches")</f>
        <v>Concrete Placement:  5 inches</v>
      </c>
      <c r="M18" s="5">
        <f>IF($F$5="M",0.5,0.42)</f>
        <v>0.42</v>
      </c>
      <c r="O18" s="50"/>
      <c r="P18" s="5"/>
    </row>
    <row r="19" spans="1:16" ht="22.5" customHeight="1">
      <c r="A19" s="26"/>
      <c r="B19" s="31"/>
      <c r="C19" s="61">
        <f t="shared" si="1"/>
      </c>
      <c r="D19" s="16"/>
      <c r="E19" s="29">
        <f t="shared" si="2"/>
      </c>
      <c r="F19" s="30">
        <f t="shared" si="0"/>
      </c>
      <c r="G19" s="62">
        <f t="shared" si="4"/>
      </c>
      <c r="H19" s="62">
        <f t="shared" si="3"/>
      </c>
      <c r="I19" s="55"/>
      <c r="J19" s="55"/>
      <c r="K19" s="66"/>
      <c r="L19" s="4" t="str">
        <f>IF($F$5="M","","Concrete Placement:  5.5 inches")</f>
        <v>Concrete Placement:  5.5 inches</v>
      </c>
      <c r="M19" s="5">
        <f>IF($F$5="M",0.53,0.45)</f>
        <v>0.45</v>
      </c>
      <c r="O19" s="50"/>
      <c r="P19" s="67"/>
    </row>
    <row r="20" spans="1:16" ht="21" customHeight="1">
      <c r="A20" s="26"/>
      <c r="B20" s="31"/>
      <c r="C20" s="61">
        <f t="shared" si="1"/>
      </c>
      <c r="D20" s="16"/>
      <c r="E20" s="29">
        <f t="shared" si="2"/>
      </c>
      <c r="F20" s="30">
        <f t="shared" si="0"/>
      </c>
      <c r="G20" s="62">
        <f t="shared" si="4"/>
      </c>
      <c r="H20" s="62">
        <f t="shared" si="3"/>
      </c>
      <c r="I20" s="55"/>
      <c r="J20" s="55"/>
      <c r="K20" s="4"/>
      <c r="L20" s="4" t="str">
        <f>IF($F$5="M","Concrete Placement:  160mm","Concrete Placement:  6 inches")</f>
        <v>Concrete Placement:  6 inches</v>
      </c>
      <c r="M20" s="5">
        <f>IF($F$5="M",0.57,0.48)</f>
        <v>0.48</v>
      </c>
      <c r="O20" s="50"/>
      <c r="P20" s="5"/>
    </row>
    <row r="21" spans="1:16" ht="21" customHeight="1">
      <c r="A21" s="26"/>
      <c r="B21" s="31"/>
      <c r="C21" s="61">
        <f t="shared" si="1"/>
      </c>
      <c r="D21" s="16"/>
      <c r="E21" s="29">
        <f t="shared" si="2"/>
      </c>
      <c r="F21" s="30">
        <f t="shared" si="0"/>
      </c>
      <c r="G21" s="62">
        <f t="shared" si="4"/>
      </c>
      <c r="H21" s="62">
        <f t="shared" si="3"/>
      </c>
      <c r="I21" s="55"/>
      <c r="J21" s="55"/>
      <c r="K21" s="66"/>
      <c r="L21" s="4" t="str">
        <f>IF($F$5="M","Bonded Concrete Pavement (75mm)","Bonded Concrete Pavement (3 inches)")</f>
        <v>Bonded Concrete Pavement (3 inches)</v>
      </c>
      <c r="M21" s="5">
        <f>IF($F$5="M",0.36,0.3)</f>
        <v>0.3</v>
      </c>
      <c r="O21" s="50"/>
      <c r="P21" s="67"/>
    </row>
    <row r="22" spans="1:16" ht="21" customHeight="1">
      <c r="A22" s="26"/>
      <c r="B22" s="31"/>
      <c r="C22" s="61">
        <f t="shared" si="1"/>
      </c>
      <c r="D22" s="16"/>
      <c r="E22" s="29">
        <f t="shared" si="2"/>
      </c>
      <c r="F22" s="30">
        <f t="shared" si="0"/>
      </c>
      <c r="G22" s="62">
        <f t="shared" si="4"/>
      </c>
      <c r="H22" s="62">
        <f t="shared" si="3"/>
      </c>
      <c r="I22" s="55"/>
      <c r="J22" s="55"/>
      <c r="K22" s="4"/>
      <c r="L22" s="4" t="str">
        <f>IF($F$5="M","","Bonded Concrete Pavement (3.5 inches)")</f>
        <v>Bonded Concrete Pavement (3.5 inches)</v>
      </c>
      <c r="M22" s="5">
        <f>IF($F$5="M",0.39,0.33)</f>
        <v>0.33</v>
      </c>
      <c r="O22" s="50"/>
      <c r="P22" s="5"/>
    </row>
    <row r="23" spans="1:16" ht="22.5" customHeight="1">
      <c r="A23" s="26"/>
      <c r="B23" s="31"/>
      <c r="C23" s="61">
        <f t="shared" si="1"/>
      </c>
      <c r="D23" s="16"/>
      <c r="E23" s="29">
        <f t="shared" si="2"/>
      </c>
      <c r="F23" s="30">
        <f t="shared" si="0"/>
      </c>
      <c r="G23" s="62">
        <f t="shared" si="4"/>
      </c>
      <c r="H23" s="62">
        <f t="shared" si="3"/>
      </c>
      <c r="I23" s="55"/>
      <c r="J23" s="55"/>
      <c r="K23" s="66"/>
      <c r="L23" s="4" t="str">
        <f>IF($F$5="M","Bonded Concrete Pavement (100mm)","Bonded Concrete Pavement (4 inches)")</f>
        <v>Bonded Concrete Pavement (4 inches)</v>
      </c>
      <c r="M23" s="5">
        <f>IF($F$5="M",0.43,0.36)</f>
        <v>0.36</v>
      </c>
      <c r="O23" s="50"/>
      <c r="P23" s="67"/>
    </row>
    <row r="24" spans="1:16" ht="22.5" customHeight="1">
      <c r="A24" s="26"/>
      <c r="B24" s="31"/>
      <c r="C24" s="61">
        <f t="shared" si="1"/>
      </c>
      <c r="D24" s="16"/>
      <c r="E24" s="29">
        <f t="shared" si="2"/>
      </c>
      <c r="F24" s="30">
        <f t="shared" si="0"/>
      </c>
      <c r="G24" s="62">
        <f t="shared" si="4"/>
      </c>
      <c r="H24" s="62">
        <f t="shared" si="3"/>
      </c>
      <c r="I24" s="55"/>
      <c r="J24" s="55"/>
      <c r="K24" s="4"/>
      <c r="L24" s="4" t="str">
        <f>IF($F$5="M","","Bonded Concrete Pavement (4.5 inches)")</f>
        <v>Bonded Concrete Pavement (4.5 inches)</v>
      </c>
      <c r="M24" s="5">
        <f>IF($F$5="M",0.46,0.39)</f>
        <v>0.39</v>
      </c>
      <c r="O24" s="50"/>
      <c r="P24" s="5"/>
    </row>
    <row r="25" spans="1:16" ht="22.5" customHeight="1">
      <c r="A25" s="26"/>
      <c r="B25" s="31"/>
      <c r="C25" s="61">
        <f t="shared" si="1"/>
      </c>
      <c r="D25" s="16"/>
      <c r="E25" s="29">
        <f t="shared" si="2"/>
      </c>
      <c r="F25" s="30">
        <f t="shared" si="0"/>
      </c>
      <c r="G25" s="62">
        <f t="shared" si="4"/>
      </c>
      <c r="H25" s="62">
        <f t="shared" si="3"/>
      </c>
      <c r="I25" s="55"/>
      <c r="J25" s="55"/>
      <c r="K25" s="66"/>
      <c r="L25" s="4" t="str">
        <f>IF($F$5="M","Bonded Concrete Pavement (140mm)","Bonded Concrete Pavement (5 inches)")</f>
        <v>Bonded Concrete Pavement (5 inches)</v>
      </c>
      <c r="M25" s="5">
        <f>IF($F$5="M",0.5,0.42)</f>
        <v>0.42</v>
      </c>
      <c r="O25" s="50"/>
      <c r="P25" s="67"/>
    </row>
    <row r="26" spans="1:16" ht="22.5" customHeight="1">
      <c r="A26" s="26"/>
      <c r="B26" s="31"/>
      <c r="C26" s="61">
        <f t="shared" si="1"/>
      </c>
      <c r="D26" s="16"/>
      <c r="E26" s="29">
        <f t="shared" si="2"/>
      </c>
      <c r="F26" s="30">
        <f t="shared" si="0"/>
      </c>
      <c r="G26" s="62">
        <f t="shared" si="4"/>
      </c>
      <c r="H26" s="62">
        <f t="shared" si="3"/>
      </c>
      <c r="I26" s="55"/>
      <c r="J26" s="55"/>
      <c r="K26" s="4"/>
      <c r="L26" s="4" t="str">
        <f>IF($F$5="M","","Bonded Concrete Pavement (5.5 inches)")</f>
        <v>Bonded Concrete Pavement (5.5 inches)</v>
      </c>
      <c r="M26" s="5">
        <f>IF($F$5="M",0.53,0.45)</f>
        <v>0.45</v>
      </c>
      <c r="O26" s="50"/>
      <c r="P26" s="5"/>
    </row>
    <row r="27" spans="1:16" ht="22.5" customHeight="1">
      <c r="A27" s="26"/>
      <c r="B27" s="31"/>
      <c r="C27" s="61">
        <f t="shared" si="1"/>
      </c>
      <c r="D27" s="16"/>
      <c r="E27" s="29">
        <f t="shared" si="2"/>
      </c>
      <c r="F27" s="30">
        <f t="shared" si="0"/>
      </c>
      <c r="G27" s="62">
        <f t="shared" si="4"/>
      </c>
      <c r="H27" s="62">
        <f t="shared" si="3"/>
      </c>
      <c r="I27" s="55"/>
      <c r="J27" s="55"/>
      <c r="K27" s="66"/>
      <c r="L27" s="4" t="str">
        <f>IF($F$5="M","Bonded Concrete Pavement (160mm)","Bonded Concrete Pavement (6 inches)")</f>
        <v>Bonded Concrete Pavement (6 inches)</v>
      </c>
      <c r="M27" s="5">
        <f>IF($F$5="M",0.57,0.48)</f>
        <v>0.48</v>
      </c>
      <c r="O27" s="50"/>
      <c r="P27" s="67"/>
    </row>
    <row r="28" spans="1:16" ht="22.5" customHeight="1">
      <c r="A28" s="26"/>
      <c r="B28" s="31"/>
      <c r="C28" s="61">
        <f t="shared" si="1"/>
      </c>
      <c r="D28" s="16"/>
      <c r="E28" s="29">
        <f t="shared" si="2"/>
      </c>
      <c r="F28" s="30">
        <f t="shared" si="0"/>
      </c>
      <c r="G28" s="62">
        <f t="shared" si="4"/>
      </c>
      <c r="H28" s="62">
        <f t="shared" si="3"/>
      </c>
      <c r="I28" s="55"/>
      <c r="J28" s="55"/>
      <c r="K28" s="4"/>
      <c r="L28" s="4" t="str">
        <f>IF($F$5="M","Concrete Pavement 160 mm","Concrete Pavement 6 inches")</f>
        <v>Concrete Pavement 6 inches</v>
      </c>
      <c r="M28" s="5">
        <f>IF($F$5="M",0.58,0.48)</f>
        <v>0.48</v>
      </c>
      <c r="O28" s="50"/>
      <c r="P28" s="5"/>
    </row>
    <row r="29" spans="1:16" ht="22.5" customHeight="1">
      <c r="A29" s="26"/>
      <c r="B29" s="31"/>
      <c r="C29" s="61">
        <f t="shared" si="1"/>
      </c>
      <c r="D29" s="16"/>
      <c r="E29" s="29">
        <f t="shared" si="2"/>
      </c>
      <c r="F29" s="30">
        <f t="shared" si="0"/>
      </c>
      <c r="G29" s="62">
        <f t="shared" si="4"/>
      </c>
      <c r="H29" s="62">
        <f t="shared" si="3"/>
      </c>
      <c r="I29" s="55"/>
      <c r="J29" s="55"/>
      <c r="K29" s="4"/>
      <c r="L29" s="4" t="str">
        <f>IF($F$5="M","","Concrete Pavement 6.5 inches")</f>
        <v>Concrete Pavement 6.5 inches</v>
      </c>
      <c r="M29" s="5">
        <f>IF($F$5="M",0.61,0.51)</f>
        <v>0.51</v>
      </c>
      <c r="O29" s="50"/>
      <c r="P29" s="5"/>
    </row>
    <row r="30" spans="1:16" ht="22.5" customHeight="1">
      <c r="A30" s="26"/>
      <c r="B30" s="31"/>
      <c r="C30" s="61">
        <f t="shared" si="1"/>
      </c>
      <c r="D30" s="16"/>
      <c r="E30" s="29">
        <f t="shared" si="2"/>
      </c>
      <c r="F30" s="30">
        <f t="shared" si="0"/>
      </c>
      <c r="G30" s="62">
        <f t="shared" si="4"/>
      </c>
      <c r="H30" s="62">
        <f t="shared" si="3"/>
      </c>
      <c r="I30" s="55"/>
      <c r="J30" s="55"/>
      <c r="K30" s="4"/>
      <c r="L30" s="4" t="str">
        <f>IF($F$5="M","Concrete Pavement 180 mm","Concrete Pavement 7 inches")</f>
        <v>Concrete Pavement 7 inches</v>
      </c>
      <c r="M30" s="5">
        <f>IF($F$5="M",0.65,0.54)</f>
        <v>0.54</v>
      </c>
      <c r="O30" s="50"/>
      <c r="P30" s="5"/>
    </row>
    <row r="31" spans="1:16" ht="22.5" customHeight="1">
      <c r="A31" s="26"/>
      <c r="B31" s="31"/>
      <c r="C31" s="61">
        <f t="shared" si="1"/>
      </c>
      <c r="D31" s="16"/>
      <c r="E31" s="29">
        <f t="shared" si="2"/>
      </c>
      <c r="F31" s="30">
        <f t="shared" si="0"/>
      </c>
      <c r="G31" s="62">
        <f t="shared" si="4"/>
      </c>
      <c r="H31" s="62">
        <f t="shared" si="3"/>
      </c>
      <c r="I31" s="55"/>
      <c r="J31" s="55"/>
      <c r="K31" s="4"/>
      <c r="L31" s="4" t="str">
        <f>IF($F$5="M","Concrete Pavement 190 mm","Concrete Pavement 7.5 inches")</f>
        <v>Concrete Pavement 7.5 inches</v>
      </c>
      <c r="M31" s="5">
        <f>IF($F$5="M",0.69,0.57)</f>
        <v>0.57</v>
      </c>
      <c r="O31" s="50"/>
      <c r="P31" s="5"/>
    </row>
    <row r="32" spans="1:16" ht="22.5" customHeight="1">
      <c r="A32" s="26"/>
      <c r="B32" s="31"/>
      <c r="C32" s="61">
        <f t="shared" si="1"/>
      </c>
      <c r="D32" s="16"/>
      <c r="E32" s="29">
        <f t="shared" si="2"/>
      </c>
      <c r="F32" s="30">
        <f t="shared" si="0"/>
      </c>
      <c r="G32" s="62">
        <f t="shared" si="4"/>
      </c>
      <c r="H32" s="62">
        <f t="shared" si="3"/>
      </c>
      <c r="I32" s="55"/>
      <c r="J32" s="55"/>
      <c r="K32" s="4"/>
      <c r="L32" s="4" t="str">
        <f>IF($F$5="M","Concrete Pavement 200 mm","Concrete Pavement 8 inches")</f>
        <v>Concrete Pavement 8 inches</v>
      </c>
      <c r="M32" s="5">
        <f>IF($F$5="M",0.72,0.6)</f>
        <v>0.6</v>
      </c>
      <c r="O32" s="50"/>
      <c r="P32" s="5"/>
    </row>
    <row r="33" spans="1:16" ht="22.5" customHeight="1">
      <c r="A33" s="26"/>
      <c r="B33" s="31"/>
      <c r="C33" s="61">
        <f t="shared" si="1"/>
      </c>
      <c r="D33" s="16"/>
      <c r="E33" s="29">
        <f t="shared" si="2"/>
      </c>
      <c r="F33" s="30">
        <f t="shared" si="0"/>
      </c>
      <c r="G33" s="62">
        <f t="shared" si="4"/>
      </c>
      <c r="H33" s="62">
        <f t="shared" si="3"/>
      </c>
      <c r="I33" s="55"/>
      <c r="J33" s="55"/>
      <c r="K33" s="6"/>
      <c r="L33" s="4" t="str">
        <f>IF($F$5="M","Concrete Pavement 220 mm","Concrete Pavement 8 1/2 inches")</f>
        <v>Concrete Pavement 8 1/2 inches</v>
      </c>
      <c r="M33" s="5">
        <f>IF($F$5="M",0.76,0.63)</f>
        <v>0.63</v>
      </c>
      <c r="N33" s="6"/>
      <c r="O33" s="50"/>
      <c r="P33" s="50"/>
    </row>
    <row r="34" spans="1:16" ht="22.5" customHeight="1">
      <c r="A34" s="26"/>
      <c r="B34" s="31"/>
      <c r="C34" s="61">
        <f t="shared" si="1"/>
      </c>
      <c r="D34" s="16"/>
      <c r="E34" s="29">
        <f t="shared" si="2"/>
      </c>
      <c r="F34" s="30">
        <f t="shared" si="0"/>
      </c>
      <c r="G34" s="62">
        <f t="shared" si="4"/>
      </c>
      <c r="H34" s="62">
        <f t="shared" si="3"/>
      </c>
      <c r="I34" s="55"/>
      <c r="J34" s="55"/>
      <c r="K34" s="7"/>
      <c r="L34" s="4" t="str">
        <f>IF($F$5="M","Concrete Pavement 230 mm","Concrete Pavement 9 inches")</f>
        <v>Concrete Pavement 9 inches</v>
      </c>
      <c r="M34" s="5">
        <f>IF($F$5="M",0.79,0.66)</f>
        <v>0.66</v>
      </c>
      <c r="N34" s="6"/>
      <c r="O34" s="50"/>
      <c r="P34" s="50"/>
    </row>
    <row r="35" spans="1:16" ht="22.5" customHeight="1">
      <c r="A35" s="26"/>
      <c r="B35" s="31"/>
      <c r="C35" s="61">
        <f t="shared" si="1"/>
      </c>
      <c r="D35" s="16"/>
      <c r="E35" s="29">
        <f t="shared" si="2"/>
      </c>
      <c r="F35" s="30">
        <f t="shared" si="0"/>
      </c>
      <c r="G35" s="62">
        <f t="shared" si="4"/>
      </c>
      <c r="H35" s="62">
        <f t="shared" si="3"/>
      </c>
      <c r="I35" s="55"/>
      <c r="J35" s="55"/>
      <c r="K35" s="7"/>
      <c r="L35" s="4" t="str">
        <f>IF($F$5="M","Concrete Pavement 240 mm","Concrete Pavement 9 1/2 inches")</f>
        <v>Concrete Pavement 9 1/2 inches</v>
      </c>
      <c r="M35" s="5">
        <f>IF($F$5="M",0.82,0.69)</f>
        <v>0.69</v>
      </c>
      <c r="N35" s="6"/>
      <c r="O35" s="50"/>
      <c r="P35" s="50"/>
    </row>
    <row r="36" spans="1:16" ht="22.5" customHeight="1">
      <c r="A36" s="26"/>
      <c r="B36" s="31"/>
      <c r="C36" s="61">
        <f t="shared" si="1"/>
      </c>
      <c r="D36" s="16"/>
      <c r="E36" s="29">
        <f t="shared" si="2"/>
      </c>
      <c r="F36" s="30">
        <f t="shared" si="0"/>
      </c>
      <c r="G36" s="62">
        <f t="shared" si="4"/>
      </c>
      <c r="H36" s="62">
        <f t="shared" si="3"/>
      </c>
      <c r="I36" s="55"/>
      <c r="J36" s="55"/>
      <c r="K36" s="7"/>
      <c r="L36" s="4" t="str">
        <f>IF($F$5="M","Concrete Pavement 250 mm","Concrete Pavement 10 inches")</f>
        <v>Concrete Pavement 10 inches</v>
      </c>
      <c r="M36" s="5">
        <f>IF($F$5="M",0.86,0.72)</f>
        <v>0.72</v>
      </c>
      <c r="N36" s="6"/>
      <c r="O36" s="50"/>
      <c r="P36" s="50"/>
    </row>
    <row r="37" spans="1:16" ht="22.5" customHeight="1">
      <c r="A37" s="26"/>
      <c r="B37" s="31"/>
      <c r="C37" s="61">
        <f t="shared" si="1"/>
      </c>
      <c r="D37" s="16"/>
      <c r="E37" s="29">
        <f t="shared" si="2"/>
      </c>
      <c r="F37" s="30">
        <f t="shared" si="0"/>
      </c>
      <c r="G37" s="62">
        <f t="shared" si="4"/>
      </c>
      <c r="H37" s="62">
        <f t="shared" si="3"/>
      </c>
      <c r="I37" s="55"/>
      <c r="J37" s="55"/>
      <c r="K37" s="7"/>
      <c r="L37" s="4">
        <f>IF(F5="M","Concrete Pavement 260 mm","")</f>
      </c>
      <c r="M37" s="5">
        <v>0.86</v>
      </c>
      <c r="N37" s="6"/>
      <c r="O37" s="50"/>
      <c r="P37" s="50"/>
    </row>
    <row r="38" spans="1:16" ht="22.5" customHeight="1">
      <c r="A38" s="26"/>
      <c r="B38" s="31"/>
      <c r="C38" s="61">
        <f t="shared" si="1"/>
      </c>
      <c r="D38" s="16"/>
      <c r="E38" s="29">
        <f t="shared" si="2"/>
      </c>
      <c r="F38" s="30">
        <f t="shared" si="0"/>
      </c>
      <c r="G38" s="62">
        <f t="shared" si="4"/>
      </c>
      <c r="H38" s="62">
        <f t="shared" si="3"/>
      </c>
      <c r="I38" s="55"/>
      <c r="J38" s="55"/>
      <c r="K38" s="7"/>
      <c r="L38" s="4" t="str">
        <f>IF($F$5="M","Concrete Pavement 270 mm","Concrete Pavement 10 1/2 inches")</f>
        <v>Concrete Pavement 10 1/2 inches</v>
      </c>
      <c r="M38" s="5">
        <f>IF($F$5="M",0.89,0.75)</f>
        <v>0.75</v>
      </c>
      <c r="N38" s="6"/>
      <c r="O38" s="50"/>
      <c r="P38" s="50"/>
    </row>
    <row r="39" spans="1:16" ht="22.5" customHeight="1">
      <c r="A39" s="39"/>
      <c r="B39" s="40"/>
      <c r="C39" s="32"/>
      <c r="D39" s="32"/>
      <c r="E39" s="33"/>
      <c r="F39" s="34"/>
      <c r="G39" s="35"/>
      <c r="H39" s="36" t="s">
        <v>66</v>
      </c>
      <c r="I39" s="47"/>
      <c r="J39" s="55"/>
      <c r="K39" s="7"/>
      <c r="L39" s="4" t="str">
        <f>IF($F$5="M","Concrete Pavement 280 mm","Concrete Pavement 11 inches")</f>
        <v>Concrete Pavement 11 inches</v>
      </c>
      <c r="M39" s="5">
        <f>IF($F$5="M",0.93,0.78)</f>
        <v>0.78</v>
      </c>
      <c r="N39" s="6"/>
      <c r="O39" s="50"/>
      <c r="P39" s="50"/>
    </row>
    <row r="40" spans="9:14" ht="12.75">
      <c r="I40" s="41"/>
      <c r="J40" s="41"/>
      <c r="K40" s="7"/>
      <c r="L40" s="4" t="str">
        <f>IF($F$5="M","Concrete Pavement 290 mm","Concrete Pavement 11 1/2 inches")</f>
        <v>Concrete Pavement 11 1/2 inches</v>
      </c>
      <c r="M40" s="5">
        <f>IF($F$5="M",0.96,0.81)</f>
        <v>0.81</v>
      </c>
      <c r="N40" s="6"/>
    </row>
    <row r="41" spans="1:14" ht="12.75">
      <c r="A41" s="42"/>
      <c r="B41" s="43"/>
      <c r="C41" s="44"/>
      <c r="D41" s="44"/>
      <c r="E41" s="45"/>
      <c r="F41" s="46"/>
      <c r="G41" s="47"/>
      <c r="H41" s="47"/>
      <c r="I41" s="47"/>
      <c r="J41" s="47"/>
      <c r="K41" s="7"/>
      <c r="L41" s="4" t="str">
        <f>IF($F$5="M","Concrete Pavement 300 mm","Concrete Pavement 12 inches")</f>
        <v>Concrete Pavement 12 inches</v>
      </c>
      <c r="M41" s="5">
        <f>IF($F$5="M",0.99,0.83)</f>
        <v>0.83</v>
      </c>
      <c r="N41" s="6"/>
    </row>
    <row r="42" spans="1:14" ht="12.75">
      <c r="A42" s="42"/>
      <c r="B42" s="43"/>
      <c r="C42" s="44"/>
      <c r="D42" s="44"/>
      <c r="E42" s="45"/>
      <c r="F42" s="46"/>
      <c r="G42" s="47"/>
      <c r="H42" s="47"/>
      <c r="I42" s="47"/>
      <c r="J42" s="47"/>
      <c r="K42" s="7"/>
      <c r="L42" s="4" t="str">
        <f>IF($F$5="M","Concrete Pavement 320 mm","Concrete Pavement 12 1/2 inches")</f>
        <v>Concrete Pavement 12 1/2 inches</v>
      </c>
      <c r="M42" s="5">
        <f>IF($F$5="M",1.02,0.86)</f>
        <v>0.86</v>
      </c>
      <c r="N42" s="6"/>
    </row>
    <row r="43" spans="1:14" ht="12.75">
      <c r="A43" s="42"/>
      <c r="B43" s="43"/>
      <c r="C43" s="44"/>
      <c r="D43" s="44"/>
      <c r="E43" s="45"/>
      <c r="F43" s="46"/>
      <c r="G43" s="47"/>
      <c r="H43" s="47"/>
      <c r="I43" s="47"/>
      <c r="J43" s="47"/>
      <c r="K43" s="7"/>
      <c r="L43" s="4" t="str">
        <f>IF($F$5="M","Concrete Pavement 330 mm","Concrete Pavement 13 inches")</f>
        <v>Concrete Pavement 13 inches</v>
      </c>
      <c r="M43" s="5">
        <f>IF($F$5="M",1.06,0.89)</f>
        <v>0.89</v>
      </c>
      <c r="N43" s="6"/>
    </row>
    <row r="44" spans="1:14" ht="12.75">
      <c r="A44" s="42"/>
      <c r="B44" s="43"/>
      <c r="C44" s="44"/>
      <c r="D44" s="44"/>
      <c r="E44" s="45"/>
      <c r="F44" s="46"/>
      <c r="G44" s="47"/>
      <c r="H44" s="47"/>
      <c r="I44" s="47"/>
      <c r="J44" s="47"/>
      <c r="K44" s="7"/>
      <c r="L44" s="4" t="str">
        <f>IF($F$5="M","Concrete Pavement 340 mm","Concrete Pavement 13 1/2 inches")</f>
        <v>Concrete Pavement 13 1/2 inches</v>
      </c>
      <c r="M44" s="5">
        <f>IF($F$5="M",1.1,0.92)</f>
        <v>0.92</v>
      </c>
      <c r="N44" s="6"/>
    </row>
    <row r="45" spans="1:14" ht="12.75">
      <c r="A45" s="42"/>
      <c r="B45" s="43"/>
      <c r="C45" s="44"/>
      <c r="D45" s="44"/>
      <c r="E45" s="45"/>
      <c r="F45" s="46"/>
      <c r="G45" s="47"/>
      <c r="H45" s="47"/>
      <c r="I45" s="47"/>
      <c r="J45" s="47"/>
      <c r="K45" s="7"/>
      <c r="L45" s="4" t="str">
        <f>IF($F$5="M","Concrete Pavement 360 mm","Concrete Pavement 14 inches")</f>
        <v>Concrete Pavement 14 inches</v>
      </c>
      <c r="M45" s="5">
        <f>IF($F$5="M",1.14,0.95)</f>
        <v>0.95</v>
      </c>
      <c r="N45" s="6"/>
    </row>
    <row r="46" spans="1:14" ht="12.75">
      <c r="A46" s="48"/>
      <c r="B46" s="48"/>
      <c r="C46" s="48"/>
      <c r="D46" s="48"/>
      <c r="E46" s="49"/>
      <c r="F46" s="48"/>
      <c r="G46" s="48"/>
      <c r="H46" s="48"/>
      <c r="I46" s="48"/>
      <c r="J46" s="48"/>
      <c r="K46" s="7"/>
      <c r="L46" s="4" t="str">
        <f>IF($F$5="M","Concrete Pavement 370 mm","Concrete Pavement 14 1/2 inches")</f>
        <v>Concrete Pavement 14 1/2 inches</v>
      </c>
      <c r="M46" s="5">
        <f>IF($F$5="M",1.17,0.98)</f>
        <v>0.98</v>
      </c>
      <c r="N46" s="6"/>
    </row>
    <row r="47" spans="1:14" ht="12.75">
      <c r="A47" s="50"/>
      <c r="B47" s="50"/>
      <c r="C47" s="50"/>
      <c r="D47" s="50"/>
      <c r="E47" s="51"/>
      <c r="F47" s="50"/>
      <c r="G47" s="50"/>
      <c r="H47" s="50"/>
      <c r="I47" s="50"/>
      <c r="J47" s="50"/>
      <c r="K47" s="7"/>
      <c r="L47" s="4" t="s">
        <v>60</v>
      </c>
      <c r="M47" s="5">
        <f>IF($F$5="M",334.65,10.2)</f>
        <v>10.2</v>
      </c>
      <c r="N47" s="6"/>
    </row>
    <row r="48" spans="1:14" ht="12.75">
      <c r="A48" s="50"/>
      <c r="B48" s="50"/>
      <c r="C48" s="50"/>
      <c r="D48" s="50"/>
      <c r="E48" s="51"/>
      <c r="F48" s="50"/>
      <c r="G48" s="50"/>
      <c r="H48" s="50"/>
      <c r="I48" s="50"/>
      <c r="J48" s="50"/>
      <c r="K48" s="7"/>
      <c r="L48" s="4" t="s">
        <v>59</v>
      </c>
      <c r="M48" s="5">
        <f>IF($F$5="M",2.65,2.4)</f>
        <v>2.4</v>
      </c>
      <c r="N48" s="6"/>
    </row>
    <row r="49" spans="1:14" ht="12.75">
      <c r="A49" s="50"/>
      <c r="B49" s="50"/>
      <c r="C49" s="50"/>
      <c r="D49" s="50"/>
      <c r="E49" s="51"/>
      <c r="F49" s="50"/>
      <c r="G49" s="50"/>
      <c r="H49" s="50"/>
      <c r="I49" s="50"/>
      <c r="J49" s="50"/>
      <c r="K49" s="7"/>
      <c r="L49" s="4" t="s">
        <v>64</v>
      </c>
      <c r="M49" s="5">
        <f>IF($F$5="M",2.65,2.4)</f>
        <v>2.4</v>
      </c>
      <c r="N49" s="6"/>
    </row>
    <row r="50" spans="1:14" ht="12.75">
      <c r="A50" s="50"/>
      <c r="B50" s="50"/>
      <c r="C50" s="50"/>
      <c r="D50" s="50"/>
      <c r="E50" s="51"/>
      <c r="F50" s="50"/>
      <c r="G50" s="50"/>
      <c r="H50" s="50"/>
      <c r="I50" s="50"/>
      <c r="J50" s="50"/>
      <c r="K50" s="7"/>
      <c r="L50" s="4" t="s">
        <v>65</v>
      </c>
      <c r="M50" s="5">
        <f>IF($F$5="M",2.65,2.4)</f>
        <v>2.4</v>
      </c>
      <c r="N50" s="6"/>
    </row>
    <row r="51" spans="11:13" ht="12.75">
      <c r="K51" s="7"/>
      <c r="L51" s="4"/>
      <c r="M51" s="5"/>
    </row>
    <row r="52" spans="11:13" ht="12.75">
      <c r="K52" s="7"/>
      <c r="L52" s="6"/>
      <c r="M52" s="6"/>
    </row>
    <row r="53" spans="11:13" ht="12.75">
      <c r="K53" s="7"/>
      <c r="L53" s="37"/>
      <c r="M53" s="37"/>
    </row>
    <row r="54" spans="11:13" ht="12.75">
      <c r="K54" s="7"/>
      <c r="L54" s="37"/>
      <c r="M54" s="37"/>
    </row>
    <row r="55" spans="12:13" ht="12.75">
      <c r="L55" s="37"/>
      <c r="M55" s="37"/>
    </row>
    <row r="56" spans="12:13" ht="12.75">
      <c r="L56" s="37"/>
      <c r="M56" s="37"/>
    </row>
    <row r="57" spans="12:13" ht="12.75">
      <c r="L57" s="37"/>
      <c r="M57" s="37"/>
    </row>
    <row r="58" spans="12:13" ht="12.75">
      <c r="L58" s="37"/>
      <c r="M58" s="37"/>
    </row>
    <row r="59" spans="12:13" ht="12.75">
      <c r="L59" s="37"/>
      <c r="M59" s="37"/>
    </row>
    <row r="60" spans="12:13" ht="12.75">
      <c r="L60" s="37"/>
      <c r="M60" s="37"/>
    </row>
    <row r="61" spans="12:13" ht="12.75">
      <c r="L61" s="37"/>
      <c r="M61" s="37"/>
    </row>
    <row r="62" spans="12:13" ht="12.75">
      <c r="L62" s="37"/>
      <c r="M62" s="37"/>
    </row>
    <row r="63" spans="12:13" ht="12.75">
      <c r="L63" s="37"/>
      <c r="M63" s="37"/>
    </row>
    <row r="64" spans="12:13" ht="12.75">
      <c r="L64" s="37"/>
      <c r="M64" s="37"/>
    </row>
    <row r="65" spans="12:13" ht="12.75">
      <c r="L65" s="37"/>
      <c r="M65" s="37"/>
    </row>
    <row r="66" spans="12:13" ht="12.75">
      <c r="L66" s="37"/>
      <c r="M66" s="37"/>
    </row>
    <row r="67" spans="12:13" ht="12.75">
      <c r="L67" s="37"/>
      <c r="M67" s="37"/>
    </row>
    <row r="68" spans="12:13" ht="12.75">
      <c r="L68" s="37"/>
      <c r="M68" s="37"/>
    </row>
    <row r="69" spans="12:13" ht="12.75">
      <c r="L69" s="37"/>
      <c r="M69" s="37"/>
    </row>
    <row r="70" ht="12.75">
      <c r="L70" s="37"/>
    </row>
    <row r="71" ht="12.75">
      <c r="L71" s="37"/>
    </row>
    <row r="72" ht="12.75">
      <c r="L72" s="37"/>
    </row>
  </sheetData>
  <sheetProtection password="BF11" sheet="1" objects="1" scenarios="1" selectLockedCells="1"/>
  <mergeCells count="4">
    <mergeCell ref="F3:H3"/>
    <mergeCell ref="F4:H4"/>
    <mergeCell ref="D5:E5"/>
    <mergeCell ref="B6:E6"/>
  </mergeCells>
  <dataValidations count="1">
    <dataValidation type="list" allowBlank="1" showInputMessage="1" showErrorMessage="1" promptTitle="Data Entry Restriction!" prompt="Please select one item from this drop down box. No other values will be accepted." errorTitle="Wrong data!" error="Please enter a value from the drop down list." sqref="B6:E6">
      <formula1>$L$7:$L$50</formula1>
    </dataValidation>
  </dataValidations>
  <printOptions/>
  <pageMargins left="1.06" right="0.5" top="0.5" bottom="0" header="0.5" footer="0"/>
  <pageSetup blackAndWhite="1" fitToHeight="1" fitToWidth="1"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</dc:creator>
  <cp:keywords/>
  <dc:description/>
  <cp:lastModifiedBy>slade</cp:lastModifiedBy>
  <cp:lastPrinted>2013-04-12T16:00:11Z</cp:lastPrinted>
  <dcterms:created xsi:type="dcterms:W3CDTF">2001-04-10T15:46:35Z</dcterms:created>
  <dcterms:modified xsi:type="dcterms:W3CDTF">2020-09-14T13:59:43Z</dcterms:modified>
  <cp:category/>
  <cp:version/>
  <cp:contentType/>
  <cp:contentStatus/>
</cp:coreProperties>
</file>